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Z:\Josh Stahle\Development Fee Calculator\"/>
    </mc:Choice>
  </mc:AlternateContent>
  <xr:revisionPtr revIDLastSave="0" documentId="13_ncr:1_{F8816323-9F05-449F-9CD5-67E0656E6CB2}" xr6:coauthVersionLast="47" xr6:coauthVersionMax="47" xr10:uidLastSave="{00000000-0000-0000-0000-000000000000}"/>
  <bookViews>
    <workbookView xWindow="-120" yWindow="-120" windowWidth="29040" windowHeight="15840" xr2:uid="{377B464F-9C66-47AA-9A51-40367FFE8158}"/>
  </bookViews>
  <sheets>
    <sheet name="Calculator" sheetId="1" r:id="rId1"/>
    <sheet name="Surety"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9" i="1" l="1" a="1"/>
  <c r="B149" i="1" s="1"/>
  <c r="B119" i="1" a="1"/>
  <c r="B119" i="1" s="1"/>
  <c r="B141" i="1" a="1"/>
  <c r="B141" i="1" s="1"/>
  <c r="B140" i="1" a="1"/>
  <c r="B140" i="1" s="1"/>
  <c r="B139" i="1" a="1"/>
  <c r="B139" i="1" s="1"/>
  <c r="B138" i="1" a="1"/>
  <c r="B138" i="1" s="1"/>
  <c r="B137" i="1" a="1"/>
  <c r="B137" i="1" s="1"/>
  <c r="B136" i="1" a="1"/>
  <c r="B136" i="1" s="1"/>
  <c r="B135" i="1" a="1"/>
  <c r="B135" i="1" s="1"/>
  <c r="B134" i="1" a="1"/>
  <c r="B134" i="1" s="1"/>
  <c r="B133" i="1" a="1"/>
  <c r="B133" i="1" s="1"/>
  <c r="B132" i="1" a="1"/>
  <c r="B132" i="1" s="1"/>
  <c r="B131" i="1" a="1"/>
  <c r="B131" i="1" s="1"/>
  <c r="B130" i="1" a="1"/>
  <c r="B130" i="1" s="1"/>
  <c r="B129" i="1" a="1"/>
  <c r="B129" i="1" s="1"/>
  <c r="B128" i="1" a="1"/>
  <c r="B128" i="1" s="1"/>
  <c r="B127" i="1" a="1"/>
  <c r="B127" i="1" s="1"/>
  <c r="B126" i="1" a="1"/>
  <c r="B126" i="1" s="1"/>
  <c r="B204" i="1" a="1"/>
  <c r="B204" i="1" s="1"/>
  <c r="B203" i="1" a="1"/>
  <c r="B203" i="1" s="1"/>
  <c r="B202" i="1" a="1"/>
  <c r="B202" i="1" s="1"/>
  <c r="B188" i="1" a="1"/>
  <c r="B188" i="1" s="1"/>
  <c r="B187" i="1" a="1"/>
  <c r="B187" i="1" s="1"/>
  <c r="B186" i="1" a="1"/>
  <c r="B186" i="1" s="1"/>
  <c r="B185" i="1" a="1"/>
  <c r="B185" i="1" s="1"/>
  <c r="B184" i="1" a="1"/>
  <c r="B184" i="1" s="1"/>
  <c r="B183" i="1" a="1"/>
  <c r="B183" i="1" s="1"/>
  <c r="B182" i="1" a="1"/>
  <c r="B182" i="1" s="1"/>
  <c r="B181" i="1" a="1"/>
  <c r="B181" i="1" s="1"/>
  <c r="B180" i="1" a="1"/>
  <c r="B180" i="1" s="1"/>
  <c r="B179" i="1" a="1"/>
  <c r="B179" i="1" s="1"/>
  <c r="B178" i="1" a="1"/>
  <c r="B178" i="1" s="1"/>
  <c r="B177" i="1" a="1"/>
  <c r="B177" i="1" s="1"/>
  <c r="B176" i="1" a="1"/>
  <c r="B176" i="1" s="1"/>
  <c r="B175" i="1" a="1"/>
  <c r="B175" i="1" s="1"/>
  <c r="B174" i="1" a="1"/>
  <c r="B174" i="1" s="1"/>
  <c r="B173" i="1" a="1"/>
  <c r="B173" i="1" s="1"/>
  <c r="B172" i="1" a="1"/>
  <c r="B172" i="1" s="1"/>
  <c r="B169" i="1" a="1"/>
  <c r="B169" i="1" s="1"/>
  <c r="B168" i="1" a="1"/>
  <c r="B168" i="1" s="1"/>
  <c r="B167" i="1" a="1"/>
  <c r="B167" i="1" s="1"/>
  <c r="B166" i="1" a="1"/>
  <c r="B166" i="1" s="1"/>
  <c r="B165" i="1" a="1"/>
  <c r="B165" i="1" s="1"/>
  <c r="B164" i="1" a="1"/>
  <c r="B164" i="1" s="1"/>
  <c r="B163" i="1" a="1"/>
  <c r="B163" i="1" s="1"/>
  <c r="B162" i="1" a="1"/>
  <c r="B162" i="1" s="1"/>
  <c r="B161" i="1" a="1"/>
  <c r="B161" i="1" s="1"/>
  <c r="B160" i="1" a="1"/>
  <c r="B160" i="1" s="1"/>
  <c r="B159" i="1" a="1"/>
  <c r="B159" i="1" s="1"/>
  <c r="B158" i="1" a="1"/>
  <c r="B158" i="1" s="1"/>
  <c r="B157" i="1" a="1"/>
  <c r="B157" i="1" s="1"/>
  <c r="B156" i="1" a="1"/>
  <c r="B156" i="1" s="1"/>
  <c r="B155" i="1" a="1"/>
  <c r="B155" i="1" s="1"/>
  <c r="B154" i="1" a="1"/>
  <c r="B154" i="1" s="1"/>
  <c r="B148" i="1" l="1" a="1"/>
  <c r="B148" i="1" s="1"/>
  <c r="B147" i="1" a="1"/>
  <c r="B147" i="1" s="1"/>
  <c r="B146" i="1" a="1"/>
  <c r="B146" i="1" s="1"/>
  <c r="B145" i="1" a="1"/>
  <c r="B145" i="1" s="1"/>
  <c r="B144" i="1" a="1"/>
  <c r="B144" i="1" s="1"/>
  <c r="B143" i="1" a="1"/>
  <c r="B143" i="1" s="1"/>
  <c r="B118" i="1" a="1"/>
  <c r="B118" i="1" s="1"/>
  <c r="B116" i="1" a="1"/>
  <c r="B116" i="1" s="1"/>
  <c r="B117" i="1" a="1"/>
  <c r="B117" i="1" s="1"/>
  <c r="B108" i="1" a="1"/>
  <c r="B108" i="1" s="1"/>
  <c r="B110" i="1" a="1"/>
  <c r="B110" i="1" s="1"/>
  <c r="B111" i="1"/>
  <c r="B109" i="1" a="1"/>
  <c r="B109" i="1" s="1"/>
  <c r="B107" i="1" a="1"/>
  <c r="B107" i="1" s="1"/>
  <c r="B106" i="1" a="1"/>
  <c r="B106" i="1" s="1"/>
  <c r="B92" i="1"/>
  <c r="B90" i="1"/>
  <c r="B91" i="1"/>
  <c r="B62" i="1"/>
  <c r="B61" i="1"/>
  <c r="B65" i="1"/>
  <c r="B66" i="1"/>
  <c r="B67" i="1"/>
  <c r="B68" i="1"/>
  <c r="B69" i="1"/>
  <c r="B70" i="1"/>
  <c r="B71" i="1"/>
  <c r="B72" i="1"/>
  <c r="B73" i="1"/>
  <c r="B74" i="1"/>
  <c r="B75" i="1"/>
  <c r="B76" i="1"/>
  <c r="B77" i="1"/>
  <c r="B78" i="1"/>
  <c r="B79" i="1"/>
  <c r="B64" i="1"/>
  <c r="B29" i="1"/>
  <c r="B30" i="1"/>
  <c r="B31" i="1"/>
  <c r="B32" i="1"/>
  <c r="B33" i="1"/>
  <c r="B34" i="1"/>
  <c r="B35" i="1"/>
  <c r="B36" i="1"/>
  <c r="B37" i="1"/>
  <c r="B38" i="1"/>
  <c r="B39" i="1"/>
  <c r="B40" i="1"/>
  <c r="B41" i="1"/>
  <c r="B42" i="1"/>
  <c r="B43" i="1"/>
  <c r="B28" i="1"/>
  <c r="B26" i="1"/>
  <c r="B25" i="1"/>
  <c r="B54" i="1"/>
  <c r="B22" i="1"/>
  <c r="B21" i="1" a="1"/>
  <c r="B21" i="1" s="1"/>
  <c r="B23" i="1"/>
  <c r="B19" i="1" a="1"/>
  <c r="B19" i="1" s="1"/>
  <c r="B88" i="1" a="1"/>
  <c r="B88" i="1" s="1"/>
  <c r="B55" i="1"/>
  <c r="B52" i="1"/>
  <c r="B56" i="1"/>
  <c r="B199" i="1"/>
  <c r="B198" i="1"/>
  <c r="B197" i="1"/>
  <c r="B196" i="1"/>
  <c r="B193" i="1"/>
  <c r="B192" i="1"/>
  <c r="B191" i="1"/>
  <c r="B20" i="1" a="1"/>
  <c r="B20" i="1" s="1"/>
  <c r="B98" i="1"/>
  <c r="B97" i="1" a="1"/>
  <c r="B97" i="1" s="1"/>
  <c r="B59" i="1"/>
  <c r="B89" i="1"/>
  <c r="B93" i="1"/>
  <c r="B94" i="1"/>
  <c r="B95" i="1"/>
  <c r="B99" i="1"/>
  <c r="B100" i="1"/>
  <c r="B101" i="1"/>
  <c r="B83" i="1" a="1"/>
  <c r="B83" i="1" s="1"/>
  <c r="B84" i="1" a="1"/>
  <c r="B84" i="1" s="1"/>
  <c r="B85" i="1" a="1"/>
  <c r="B85" i="1" s="1"/>
  <c r="B82" i="1" a="1"/>
  <c r="B82" i="1" s="1"/>
  <c r="B81" i="1" a="1"/>
  <c r="B81" i="1" s="1"/>
  <c r="B47" i="1" a="1"/>
  <c r="B47" i="1" s="1"/>
  <c r="B48" i="1" a="1"/>
  <c r="B48" i="1" s="1"/>
  <c r="B49" i="1" a="1"/>
  <c r="B49" i="1" s="1"/>
  <c r="B46" i="1" a="1"/>
  <c r="B46" i="1" s="1"/>
  <c r="B45" i="1" a="1"/>
  <c r="B45" i="1" s="1"/>
  <c r="B6" i="1"/>
  <c r="B142" i="1" l="1"/>
  <c r="B195" i="1"/>
  <c r="B190" i="1"/>
  <c r="B201" i="1"/>
  <c r="F173" i="3"/>
  <c r="F172" i="3"/>
  <c r="F171" i="3"/>
  <c r="F170" i="3"/>
  <c r="F169" i="3"/>
  <c r="F168" i="3"/>
  <c r="F167" i="3"/>
  <c r="F162" i="3"/>
  <c r="F161" i="3"/>
  <c r="F160" i="3"/>
  <c r="F159" i="3"/>
  <c r="F153" i="3"/>
  <c r="F152" i="3"/>
  <c r="F151" i="3"/>
  <c r="F150" i="3"/>
  <c r="F149" i="3"/>
  <c r="F144" i="3"/>
  <c r="F143" i="3"/>
  <c r="F142" i="3"/>
  <c r="F137" i="3"/>
  <c r="F135" i="3"/>
  <c r="F134" i="3"/>
  <c r="F133" i="3"/>
  <c r="F132" i="3"/>
  <c r="F131" i="3"/>
  <c r="F130" i="3"/>
  <c r="F129" i="3"/>
  <c r="F128" i="3"/>
  <c r="F127" i="3"/>
  <c r="F126" i="3"/>
  <c r="F125" i="3"/>
  <c r="F119" i="3"/>
  <c r="F117" i="3"/>
  <c r="F116" i="3"/>
  <c r="F115" i="3"/>
  <c r="F114" i="3"/>
  <c r="F113" i="3"/>
  <c r="F112" i="3"/>
  <c r="F111" i="3"/>
  <c r="F109" i="3"/>
  <c r="F108" i="3"/>
  <c r="F107" i="3"/>
  <c r="F106" i="3"/>
  <c r="F105" i="3"/>
  <c r="F104" i="3"/>
  <c r="F103" i="3"/>
  <c r="F102" i="3"/>
  <c r="F101" i="3"/>
  <c r="F100" i="3"/>
  <c r="F99" i="3"/>
  <c r="F94" i="3"/>
  <c r="F93" i="3"/>
  <c r="F95" i="3" s="1"/>
  <c r="F92" i="3"/>
  <c r="F91" i="3"/>
  <c r="F85" i="3"/>
  <c r="F84" i="3"/>
  <c r="F83" i="3"/>
  <c r="F82" i="3"/>
  <c r="F81" i="3"/>
  <c r="F80" i="3"/>
  <c r="F79" i="3"/>
  <c r="F74" i="3"/>
  <c r="F73" i="3"/>
  <c r="F72" i="3"/>
  <c r="F71" i="3"/>
  <c r="F70" i="3"/>
  <c r="F69" i="3"/>
  <c r="F68" i="3"/>
  <c r="F67" i="3"/>
  <c r="F66" i="3"/>
  <c r="F65" i="3"/>
  <c r="F64" i="3"/>
  <c r="F63" i="3"/>
  <c r="F62" i="3"/>
  <c r="F61" i="3"/>
  <c r="F60" i="3"/>
  <c r="F59" i="3"/>
  <c r="F58" i="3"/>
  <c r="F51" i="3"/>
  <c r="F50" i="3"/>
  <c r="F49" i="3"/>
  <c r="F48" i="3"/>
  <c r="F47" i="3"/>
  <c r="F46" i="3"/>
  <c r="F45" i="3"/>
  <c r="F44" i="3"/>
  <c r="C39" i="3"/>
  <c r="F39" i="3" s="1"/>
  <c r="F38" i="3"/>
  <c r="D38" i="3"/>
  <c r="C38" i="3"/>
  <c r="C37" i="3"/>
  <c r="F37" i="3" s="1"/>
  <c r="D36" i="3"/>
  <c r="C36" i="3"/>
  <c r="F36" i="3" s="1"/>
  <c r="F35" i="3"/>
  <c r="C35" i="3"/>
  <c r="E34" i="3"/>
  <c r="D34" i="3"/>
  <c r="C34" i="3"/>
  <c r="D33" i="3"/>
  <c r="C33" i="3"/>
  <c r="F33" i="3" s="1"/>
  <c r="D32" i="3"/>
  <c r="C32" i="3"/>
  <c r="F32" i="3" s="1"/>
  <c r="E31" i="3"/>
  <c r="D31" i="3"/>
  <c r="C31" i="3"/>
  <c r="F31" i="3" s="1"/>
  <c r="C30" i="3"/>
  <c r="F30" i="3" s="1"/>
  <c r="F40" i="3" s="1"/>
  <c r="B123" i="1" s="1" a="1"/>
  <c r="B123" i="1" s="1"/>
  <c r="B200" i="1" l="1"/>
  <c r="F34" i="3"/>
  <c r="F121" i="3"/>
  <c r="F139" i="3"/>
  <c r="F145" i="3"/>
  <c r="F76" i="3"/>
  <c r="C21" i="3" s="1"/>
  <c r="F174" i="3"/>
  <c r="C25" i="3" s="1"/>
  <c r="F163" i="3"/>
  <c r="C24" i="3" s="1"/>
  <c r="D24" i="3" s="1"/>
  <c r="F54" i="3"/>
  <c r="C20" i="3" s="1"/>
  <c r="D20" i="3" s="1"/>
  <c r="E24" i="3"/>
  <c r="E21" i="3"/>
  <c r="D21" i="3"/>
  <c r="E25" i="3"/>
  <c r="D25" i="3"/>
  <c r="F25" i="3" s="1"/>
  <c r="E86" i="3"/>
  <c r="F86" i="3" s="1"/>
  <c r="F87" i="3" s="1"/>
  <c r="C22" i="3" s="1"/>
  <c r="E154" i="3"/>
  <c r="F154" i="3" s="1"/>
  <c r="F155" i="3" s="1"/>
  <c r="C23" i="3" s="1"/>
  <c r="F24" i="3" l="1"/>
  <c r="F21" i="3"/>
  <c r="E23" i="3"/>
  <c r="D23" i="3"/>
  <c r="E22" i="3"/>
  <c r="D22" i="3"/>
  <c r="A17" i="3"/>
  <c r="B17" i="3" s="1"/>
  <c r="E20" i="3" s="1"/>
  <c r="F20" i="3" s="1"/>
  <c r="E26" i="3" l="1"/>
  <c r="F23" i="3"/>
  <c r="F22" i="3"/>
  <c r="F27" i="3" l="1"/>
  <c r="B122" i="1" s="1" a="1"/>
  <c r="B122" i="1" s="1"/>
  <c r="B150" i="1" l="1" a="1"/>
  <c r="B150" i="1" s="1"/>
  <c r="B115" i="1" a="1"/>
  <c r="B115" i="1" s="1"/>
  <c r="B114" i="1"/>
  <c r="B113" i="1" a="1"/>
  <c r="B113" i="1" s="1"/>
  <c r="B112" i="1" a="1"/>
  <c r="B112" i="1" s="1"/>
  <c r="B153" i="1" l="1"/>
  <c r="B120" i="1"/>
  <c r="B125" i="1"/>
  <c r="B151" i="1" s="1"/>
  <c r="B96" i="1" l="1" a="1"/>
  <c r="B96" i="1" s="1"/>
  <c r="B12" i="1"/>
  <c r="C63" i="1"/>
  <c r="B58" i="1"/>
  <c r="B57" i="1"/>
  <c r="B53" i="1"/>
  <c r="C27" i="1"/>
  <c r="B5" i="1"/>
  <c r="B11" i="1"/>
  <c r="B10" i="1"/>
  <c r="B9" i="1"/>
  <c r="B8" i="1"/>
  <c r="B7" i="1"/>
  <c r="B103" i="1" l="1"/>
  <c r="B63" i="1"/>
  <c r="B86" i="1" s="1"/>
  <c r="B27" i="1"/>
  <c r="B50" i="1" s="1"/>
  <c r="B4" i="1"/>
  <c r="B15" i="1" s="1"/>
  <c r="B104" i="1" l="1"/>
  <c r="B170" i="1"/>
  <c r="B189" i="1" s="1"/>
  <c r="B205" i="1" s="1"/>
  <c r="B206" i="1" l="1"/>
  <c r="D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<sst xmlns="http://schemas.openxmlformats.org/spreadsheetml/2006/main" count="706" uniqueCount="364">
  <si>
    <t>City of Lebanon Development Fee Calculator</t>
  </si>
  <si>
    <t>Fee Type</t>
  </si>
  <si>
    <t>Fee</t>
  </si>
  <si>
    <t># of Units</t>
  </si>
  <si>
    <t>Unit Type</t>
  </si>
  <si>
    <t>Fee Due</t>
  </si>
  <si>
    <t>Planning</t>
  </si>
  <si>
    <t>Site Plan Review</t>
  </si>
  <si>
    <t>(Major Site Plan) Before Preliminary Planning Commision, (Minor/Overlay Site Plan) Before review can begin</t>
  </si>
  <si>
    <t>non-residential</t>
  </si>
  <si>
    <t>building square footage</t>
  </si>
  <si>
    <t>residential</t>
  </si>
  <si>
    <t>residential units</t>
  </si>
  <si>
    <t>Subdivision Plat Review</t>
  </si>
  <si>
    <t>total lots (buildable &amp; open space)</t>
  </si>
  <si>
    <t>(Major Final/Preliminary Plat) Before Preliminary Planning Commision, (Minor Plat) Before review can begin</t>
  </si>
  <si>
    <t>Rezoning</t>
  </si>
  <si>
    <t>acre(s)</t>
  </si>
  <si>
    <t>Before Preliminary Planning Commission</t>
  </si>
  <si>
    <t>Future Land Use Plan Amendment</t>
  </si>
  <si>
    <t>Annexation</t>
  </si>
  <si>
    <t>PC Variance Request</t>
  </si>
  <si>
    <t>number of variances</t>
  </si>
  <si>
    <t>Board of Zoning Apppeals Request</t>
  </si>
  <si>
    <t>Before Board of Zoning Appeals Meeting</t>
  </si>
  <si>
    <t>Historic Preservation COA</t>
  </si>
  <si>
    <t>no fees</t>
  </si>
  <si>
    <t>Payment in-lieu-of sidewalks*</t>
  </si>
  <si>
    <t>Before Final Approval of Site Plan/Before Issuance of Building Permit</t>
  </si>
  <si>
    <t>feet</t>
  </si>
  <si>
    <t>Planning Total</t>
  </si>
  <si>
    <t>Building Inspections</t>
  </si>
  <si>
    <t>Commercial</t>
  </si>
  <si>
    <t>Building Permit (New or Addition)</t>
  </si>
  <si>
    <t>Building Plan Review</t>
  </si>
  <si>
    <t>Infrustructure Impact</t>
  </si>
  <si>
    <t>Remodel</t>
  </si>
  <si>
    <t>Mechanical Permit</t>
  </si>
  <si>
    <t>unit(s)</t>
  </si>
  <si>
    <t>Commercial Plumbing</t>
  </si>
  <si>
    <t>Permit fee</t>
  </si>
  <si>
    <t>permits</t>
  </si>
  <si>
    <t>Sewer fee</t>
  </si>
  <si>
    <t>Fixtures</t>
  </si>
  <si>
    <t>Water Closets</t>
  </si>
  <si>
    <t>fixture(s)</t>
  </si>
  <si>
    <t>Lavatories</t>
  </si>
  <si>
    <t>Urinals</t>
  </si>
  <si>
    <t>Showers</t>
  </si>
  <si>
    <t>Bathtubs</t>
  </si>
  <si>
    <t>Drinking Fountains</t>
  </si>
  <si>
    <t>Dishwashers</t>
  </si>
  <si>
    <t>Kitchen Sinks</t>
  </si>
  <si>
    <t>Service Sinks</t>
  </si>
  <si>
    <t>Water Heaters</t>
  </si>
  <si>
    <t>Garbage Disposals</t>
  </si>
  <si>
    <t>Floor Drains</t>
  </si>
  <si>
    <t>Washing Machines</t>
  </si>
  <si>
    <t>Ice Makers</t>
  </si>
  <si>
    <t>Out House Bibs</t>
  </si>
  <si>
    <t>Backflow Preventers</t>
  </si>
  <si>
    <t>Commercial Utility Connection</t>
  </si>
  <si>
    <t>Backflow</t>
  </si>
  <si>
    <t>Water Only Connection</t>
  </si>
  <si>
    <t>connections</t>
  </si>
  <si>
    <t>Sewer Only Connection</t>
  </si>
  <si>
    <t>Water &amp; Sewer Connection</t>
  </si>
  <si>
    <t>Gas Connection</t>
  </si>
  <si>
    <t>Commercial Sub-total</t>
  </si>
  <si>
    <t>Residential</t>
  </si>
  <si>
    <t>HVAC unit(s)</t>
  </si>
  <si>
    <t>Electrical Service release</t>
  </si>
  <si>
    <t>Drive Way Permit Fee</t>
  </si>
  <si>
    <t>driveway cuts</t>
  </si>
  <si>
    <t>Garbage Cart Fee</t>
  </si>
  <si>
    <t>garbage carts</t>
  </si>
  <si>
    <t>Stormwater Inspection Fee</t>
  </si>
  <si>
    <t>Residential Plumbing</t>
  </si>
  <si>
    <t>Permit</t>
  </si>
  <si>
    <t>Sewer</t>
  </si>
  <si>
    <t>Residential Utility Tap &amp; Connection</t>
  </si>
  <si>
    <t>Residential Sub-total</t>
  </si>
  <si>
    <t>Miscellaneous</t>
  </si>
  <si>
    <t>Accessory Structure</t>
  </si>
  <si>
    <t>Administrative Fee for Refunds</t>
  </si>
  <si>
    <t>refunds</t>
  </si>
  <si>
    <t>Demolition Permit Fee</t>
  </si>
  <si>
    <t>Fence Permit Fee</t>
  </si>
  <si>
    <t>Life Safety Occupancy Inspection Fee</t>
  </si>
  <si>
    <t>inspections</t>
  </si>
  <si>
    <t>Sign Permit Fee</t>
  </si>
  <si>
    <t>Sign square feet</t>
  </si>
  <si>
    <t>Street Bond Fee</t>
  </si>
  <si>
    <t>bonds</t>
  </si>
  <si>
    <t xml:space="preserve">Street Permit Fee </t>
  </si>
  <si>
    <t>Swimming Pool Fee</t>
  </si>
  <si>
    <t>pools</t>
  </si>
  <si>
    <t>Fire Hydrant Meter Fee</t>
  </si>
  <si>
    <t>meters</t>
  </si>
  <si>
    <t>Map Request Fee</t>
  </si>
  <si>
    <t>maps</t>
  </si>
  <si>
    <t>Miscellaneous Sub-total</t>
  </si>
  <si>
    <t>Building Inspections Total</t>
  </si>
  <si>
    <t>Stormwater</t>
  </si>
  <si>
    <t>Plan Review Fee (Commercial)</t>
  </si>
  <si>
    <t>impervious area square footage</t>
  </si>
  <si>
    <t>Plan Review Fee (Mass Grading)</t>
  </si>
  <si>
    <t>Grading Permit Fee</t>
  </si>
  <si>
    <t>Inspection Fee (Commercial)</t>
  </si>
  <si>
    <t>with building permit</t>
  </si>
  <si>
    <t>Inspection Fee (Residential)</t>
  </si>
  <si>
    <t>Single-Family Stormwater Utility Fee</t>
  </si>
  <si>
    <t>monthly (billed to the property owner)</t>
  </si>
  <si>
    <t>Duplex Stormwater Utility Fee</t>
  </si>
  <si>
    <t>monthly (billed to the property owner), split in 1/2 between the two sides</t>
  </si>
  <si>
    <t>Condo/Townhouse Utility Fee</t>
  </si>
  <si>
    <t>Non-residential/Apartment Utility Fee</t>
  </si>
  <si>
    <t>Stormwater Total</t>
  </si>
  <si>
    <t>Utilities</t>
  </si>
  <si>
    <t>Total Sureties</t>
  </si>
  <si>
    <t>Complete the Surety sheet</t>
  </si>
  <si>
    <t>Total Utility Inspection &amp; Review Fees</t>
  </si>
  <si>
    <t>Water</t>
  </si>
  <si>
    <t>Water Capacity Fee</t>
  </si>
  <si>
    <r>
      <t xml:space="preserve">In the Downtown Water &amp; Sewer Fee Area? </t>
    </r>
    <r>
      <rPr>
        <b/>
        <i/>
        <sz val="10"/>
        <color theme="1"/>
        <rFont val="Calibri"/>
        <family val="2"/>
        <scheme val="minor"/>
      </rPr>
      <t>(select yes or no)</t>
    </r>
  </si>
  <si>
    <t>Single Family/Townhome</t>
  </si>
  <si>
    <t>lots</t>
  </si>
  <si>
    <t>Apts/Multiple Unit Bldg</t>
  </si>
  <si>
    <t>units</t>
  </si>
  <si>
    <t>Restaurant</t>
  </si>
  <si>
    <t>seats</t>
  </si>
  <si>
    <t>Motel</t>
  </si>
  <si>
    <t>Office Bldg.</t>
  </si>
  <si>
    <t>Commercial Store</t>
  </si>
  <si>
    <t>Industrial Bldg.</t>
  </si>
  <si>
    <t>employees</t>
  </si>
  <si>
    <t>School &amp; Daycare</t>
  </si>
  <si>
    <t>students/children</t>
  </si>
  <si>
    <t>College (Residential)</t>
  </si>
  <si>
    <t>students</t>
  </si>
  <si>
    <t>Theater, Auditorium or Church</t>
  </si>
  <si>
    <t>Laudromat</t>
  </si>
  <si>
    <t>washers</t>
  </si>
  <si>
    <t>Jail</t>
  </si>
  <si>
    <t>inmates</t>
  </si>
  <si>
    <t>Hospital</t>
  </si>
  <si>
    <t>beds</t>
  </si>
  <si>
    <t>Gym</t>
  </si>
  <si>
    <t>Car Wash</t>
  </si>
  <si>
    <t>bays</t>
  </si>
  <si>
    <t>Rest Home &amp; Assisted Living</t>
  </si>
  <si>
    <t>licensed capacity</t>
  </si>
  <si>
    <t>Domestic Water Connection/Installation Fee</t>
  </si>
  <si>
    <r>
      <t xml:space="preserve">Inside City Limits? </t>
    </r>
    <r>
      <rPr>
        <b/>
        <i/>
        <sz val="11"/>
        <color theme="1"/>
        <rFont val="Calibri"/>
        <family val="2"/>
        <scheme val="minor"/>
      </rPr>
      <t>(select yes or no)</t>
    </r>
  </si>
  <si>
    <t>.75"</t>
  </si>
  <si>
    <t>1"</t>
  </si>
  <si>
    <t>2"</t>
  </si>
  <si>
    <t>4"</t>
  </si>
  <si>
    <t>6"</t>
  </si>
  <si>
    <t>8"</t>
  </si>
  <si>
    <t>Fire Line Tap (includeing public hydrantts)</t>
  </si>
  <si>
    <t>inches</t>
  </si>
  <si>
    <t>Water Sub-total</t>
  </si>
  <si>
    <t>Sewer Capacity Fee</t>
  </si>
  <si>
    <t>Sewer Tap Fee</t>
  </si>
  <si>
    <t>Duplex</t>
  </si>
  <si>
    <r>
      <t xml:space="preserve">building square footage </t>
    </r>
    <r>
      <rPr>
        <i/>
        <sz val="9"/>
        <color theme="1"/>
        <rFont val="Calibri"/>
        <family val="2"/>
        <scheme val="minor"/>
      </rPr>
      <t>(Based on water usage numbers, an SFU count of 3.5 for commerical stores was used to obtain Capacity Fees)</t>
    </r>
  </si>
  <si>
    <t>Sewer Sub-total</t>
  </si>
  <si>
    <t>Gas Tap</t>
  </si>
  <si>
    <r>
      <t xml:space="preserve">Inside City Limits? </t>
    </r>
    <r>
      <rPr>
        <i/>
        <sz val="10"/>
        <color theme="1"/>
        <rFont val="Calibri"/>
        <family val="2"/>
        <scheme val="minor"/>
      </rPr>
      <t>(select yes or no)</t>
    </r>
  </si>
  <si>
    <t>taps</t>
  </si>
  <si>
    <t>Irrigation Tap</t>
  </si>
  <si>
    <t>3/4"</t>
  </si>
  <si>
    <t>Utilities Total</t>
  </si>
  <si>
    <t>TOTAL</t>
  </si>
  <si>
    <t xml:space="preserve">City of Lebanon Surety &amp; Inspection Fee Calculator </t>
  </si>
  <si>
    <t>Revision Date: August 2, 2022</t>
  </si>
  <si>
    <t>Development:</t>
  </si>
  <si>
    <t>Owner:</t>
  </si>
  <si>
    <t>Section/Phase:</t>
  </si>
  <si>
    <t>Applicant:</t>
  </si>
  <si>
    <t>Address (Location):</t>
  </si>
  <si>
    <t>Company:</t>
  </si>
  <si>
    <t xml:space="preserve">Disturbed Area (Acres): </t>
  </si>
  <si>
    <t>Address:</t>
  </si>
  <si>
    <t>DATE:</t>
  </si>
  <si>
    <t xml:space="preserve">Phone No. </t>
  </si>
  <si>
    <t>Email:</t>
  </si>
  <si>
    <t>Design Engineer Certification:</t>
  </si>
  <si>
    <t>By my signature below, I hereby certify under penalty of law that this document and all attachments were prepared by me, or under my direct supervision. The submitted information is to the best of my knowledge and belief true, accurate and complete.  I am aware that there are signficant penalities for submitting false information. As listed in Tennessee Code Annotated Section 39-16-702(aa)(4), this declaration is made under penalty of perjury.</t>
  </si>
  <si>
    <t>Name:</t>
  </si>
  <si>
    <t>Signature:</t>
  </si>
  <si>
    <t>NOTE:  Contingencies are based on 10% of cost per surety category. EPSC is based on $7,000 per acre disturbed to be distributed equally over each category.</t>
  </si>
  <si>
    <t>SURETY SUMMARY</t>
  </si>
  <si>
    <t>SUB TOTAL</t>
  </si>
  <si>
    <t>CONTINGENCY</t>
  </si>
  <si>
    <t>EPSC</t>
  </si>
  <si>
    <t>I. CITY WATER:</t>
  </si>
  <si>
    <t>II. CITY SEWER:</t>
  </si>
  <si>
    <t>III. CITY ROADS, DRAINAGE &amp; LIGHTING (a-e):</t>
  </si>
  <si>
    <t>IV. PRIVATE STREETS:</t>
  </si>
  <si>
    <t>V. PRIVATE WATER:</t>
  </si>
  <si>
    <t>VI. PRIVATE SEWER:</t>
  </si>
  <si>
    <t>Total EPSC =</t>
  </si>
  <si>
    <t>TOTAL SURETIES</t>
  </si>
  <si>
    <t>INSPECTION AND REVIEW FEES - Utilities</t>
  </si>
  <si>
    <t>QUANTITY</t>
  </si>
  <si>
    <t>UNIT</t>
  </si>
  <si>
    <t>UNIT COST</t>
  </si>
  <si>
    <t>I. Water Main(Minimum $500)</t>
  </si>
  <si>
    <t>LF</t>
  </si>
  <si>
    <t>II. Fire Hydrant</t>
  </si>
  <si>
    <t>III. Private Fire Hydrant Inspection</t>
  </si>
  <si>
    <t>IV. Backflow Preventor Testing</t>
  </si>
  <si>
    <t>V. New &gt;2" Meter Inspection</t>
  </si>
  <si>
    <t>VI. Gravity Sewer Main (Minimum $1,000)</t>
  </si>
  <si>
    <t>VII. Manhole</t>
  </si>
  <si>
    <t>VIII. Sewer Force Main (Minimum $500)</t>
  </si>
  <si>
    <t>IX. Grinder Pumps</t>
  </si>
  <si>
    <t>X. Booster Station and/or Pump Station Review Fee</t>
  </si>
  <si>
    <t>EA</t>
  </si>
  <si>
    <t>Total Inspection &amp; Review Fees</t>
  </si>
  <si>
    <t>6" MAIN</t>
  </si>
  <si>
    <t>8" MAIN</t>
  </si>
  <si>
    <t>10" MAIN</t>
  </si>
  <si>
    <t>12" MAIN</t>
  </si>
  <si>
    <t>16" MAIN</t>
  </si>
  <si>
    <t>24" MAIN</t>
  </si>
  <si>
    <t>BOOSTER STATION (applicant provides quote)</t>
  </si>
  <si>
    <t>LS</t>
  </si>
  <si>
    <t>FIRE HYDRANT</t>
  </si>
  <si>
    <t>BACKFLOW PREVENTORS</t>
  </si>
  <si>
    <t>WATER METER &gt;2-INCHES</t>
  </si>
  <si>
    <t xml:space="preserve">Note:  City Water includes all Public, City of Lebanon </t>
  </si>
  <si>
    <t>SUBTOTAL Water</t>
  </si>
  <si>
    <t>Infrastructure.  Do Not inlcude private service lines.</t>
  </si>
  <si>
    <t>15" MAIN</t>
  </si>
  <si>
    <t>18" MAIN</t>
  </si>
  <si>
    <t>30" MAIN</t>
  </si>
  <si>
    <t>4' MANHOLES</t>
  </si>
  <si>
    <t>5' MANHOLES</t>
  </si>
  <si>
    <t>4" FORCE MAIN</t>
  </si>
  <si>
    <t>6" FORCE MAIN</t>
  </si>
  <si>
    <t>8" FORCE MAIN</t>
  </si>
  <si>
    <t>10" FORCE MAIN</t>
  </si>
  <si>
    <t>12" FORCE MAIN</t>
  </si>
  <si>
    <t>16" FORCE MAIN</t>
  </si>
  <si>
    <t>24" FORCE MAIN</t>
  </si>
  <si>
    <t>PUMP STATIONS (applicant to provide quote)</t>
  </si>
  <si>
    <t xml:space="preserve">GRINDER STATIONS </t>
  </si>
  <si>
    <t xml:space="preserve">Note:  City Sewer includes all Public, City of Lebanon </t>
  </si>
  <si>
    <t>SUBTOTAL Sewer</t>
  </si>
  <si>
    <t>III.(a) CITY STREETS:</t>
  </si>
  <si>
    <t>LOCAL &amp; ALLEY PAVEMENT (1.5", 2", 8")</t>
  </si>
  <si>
    <t>SY</t>
  </si>
  <si>
    <t>MINOR COLLECTOR RESIDENTIAL (1.5", 2", 10")</t>
  </si>
  <si>
    <t>COMMERCIAL OR INDUSTRIAL PAVEMENT (1.5", 2", 4", 10")</t>
  </si>
  <si>
    <t>CONCRETE CURB</t>
  </si>
  <si>
    <t>CONCRETE CURB &amp; GUTTER</t>
  </si>
  <si>
    <t>TEMPORARY AND/OR PERMANENT CUL-DE-SACS</t>
  </si>
  <si>
    <t>STREET ACCESS (CONNECTION TO EXISTING STREET)</t>
  </si>
  <si>
    <t>SIGNS/STRIPING/ETC.</t>
  </si>
  <si>
    <t>OF TOTAL</t>
  </si>
  <si>
    <t xml:space="preserve">Note:  City Streets includes all streets within Public ROW </t>
  </si>
  <si>
    <t>SUBTOTAL Streets</t>
  </si>
  <si>
    <t>III.(b) PUBLIC SIDEWALK:</t>
  </si>
  <si>
    <t>CONCRETE SIDEWALK/MULTI USE PATH (4" CLASS A, 4" BASE)</t>
  </si>
  <si>
    <t>SF</t>
  </si>
  <si>
    <t>MULTI-USE PATH-PERVIOUS CONCRETE (4" PERVIOUS, 6" BASE)</t>
  </si>
  <si>
    <t>MULTI-USE PATH-ASPHALT (1.5" SURFACE, 3" BINDER, 4" BASE)</t>
  </si>
  <si>
    <t>HANDICAP RAMP &amp; DETECTABLE WARNING</t>
  </si>
  <si>
    <t>Note:  Public Sidewalks includes all required walkways.</t>
  </si>
  <si>
    <t>SUBTOTAL Sidewalks</t>
  </si>
  <si>
    <t>III.(c) STORMWATER DRAINAGE:</t>
  </si>
  <si>
    <t>15" RCP CULVERT</t>
  </si>
  <si>
    <t>18" RCP CULVERT</t>
  </si>
  <si>
    <t>24" RCP CULVERT</t>
  </si>
  <si>
    <t>30" RCP CULVERT</t>
  </si>
  <si>
    <t>36" RCP CULVERT</t>
  </si>
  <si>
    <t>42" RCP CULVERT</t>
  </si>
  <si>
    <t>48" RCP CULVERT</t>
  </si>
  <si>
    <t>54" RCP CULVERT</t>
  </si>
  <si>
    <t>60" RCP CULVERT</t>
  </si>
  <si>
    <t>72" RCP CULVERT</t>
  </si>
  <si>
    <t>NON-STANDARD RCP (indicate dimension in description)</t>
  </si>
  <si>
    <t xml:space="preserve">    Description: </t>
  </si>
  <si>
    <r>
      <t>BOX CULVERT(S) (</t>
    </r>
    <r>
      <rPr>
        <i/>
        <sz val="10"/>
        <color theme="1"/>
        <rFont val="Calibri"/>
        <family val="2"/>
        <scheme val="minor"/>
      </rPr>
      <t>applicant to provide quote</t>
    </r>
    <r>
      <rPr>
        <sz val="10"/>
        <color theme="1"/>
        <rFont val="Calibri"/>
        <family val="2"/>
        <scheme val="minor"/>
      </rPr>
      <t>)</t>
    </r>
  </si>
  <si>
    <t>HEADWALLS</t>
  </si>
  <si>
    <t>SINGLE INLET/JUNCTION BOX</t>
  </si>
  <si>
    <t>DOUBLE INLETS</t>
  </si>
  <si>
    <t>SAFETY GRATES</t>
  </si>
  <si>
    <t>DITCH WORK</t>
  </si>
  <si>
    <r>
      <t xml:space="preserve">SPECIAL ITEM #1 (Underground detention, etc.) </t>
    </r>
    <r>
      <rPr>
        <i/>
        <sz val="10"/>
        <color theme="1"/>
        <rFont val="Calibri"/>
        <family val="2"/>
        <scheme val="minor"/>
      </rPr>
      <t>Applicant to provide quote</t>
    </r>
  </si>
  <si>
    <t xml:space="preserve">    Description:</t>
  </si>
  <si>
    <r>
      <t xml:space="preserve">SPECIAL ITEM #2 </t>
    </r>
    <r>
      <rPr>
        <i/>
        <sz val="10"/>
        <color theme="1"/>
        <rFont val="Calibri"/>
        <family val="2"/>
        <scheme val="minor"/>
      </rPr>
      <t xml:space="preserve"> Applicant to provide quote</t>
    </r>
  </si>
  <si>
    <t xml:space="preserve">Note:  Stormwater Drainage includes all substatial stormstormwater conveying and </t>
  </si>
  <si>
    <t>SUBTOTAL Drainage</t>
  </si>
  <si>
    <t>detaining infrastructure.  For special items, include description and cost estimate per unit.</t>
  </si>
  <si>
    <t>III.(d) STORMWATER QUALITY &amp; QUANTITIY:</t>
  </si>
  <si>
    <t>DRY POND</t>
  </si>
  <si>
    <t>CY</t>
  </si>
  <si>
    <t>WET POND</t>
  </si>
  <si>
    <t>PERMEABLE PAVEMENT/PAVERS</t>
  </si>
  <si>
    <t>GRASS CHANNEL</t>
  </si>
  <si>
    <t>WATER QUALITY SWALE</t>
  </si>
  <si>
    <t>INFILTRATION TRENCH</t>
  </si>
  <si>
    <t>DETENTION POND OUTLET STRUCTURE</t>
  </si>
  <si>
    <t>BIORETENTION/RAIN GARDEN (Water quality volume)</t>
  </si>
  <si>
    <t>LEVEL SPREADER</t>
  </si>
  <si>
    <t>CONSTRUCTED WETLANDS</t>
  </si>
  <si>
    <r>
      <t xml:space="preserve">SPECIAL ITEM #1 (Water Quality Unit, etc.) </t>
    </r>
    <r>
      <rPr>
        <i/>
        <sz val="10"/>
        <color theme="1"/>
        <rFont val="Calibri"/>
        <family val="2"/>
        <scheme val="minor"/>
      </rPr>
      <t>Applicant to provide quote</t>
    </r>
  </si>
  <si>
    <r>
      <t xml:space="preserve">SPECIAL ITEM #2 </t>
    </r>
    <r>
      <rPr>
        <i/>
        <sz val="10"/>
        <color theme="1"/>
        <rFont val="Calibri"/>
        <family val="2"/>
        <scheme val="minor"/>
      </rPr>
      <t>Applicant to provide quote</t>
    </r>
  </si>
  <si>
    <t>Note:  Stormwater Quality &amp; Quantity includes all</t>
  </si>
  <si>
    <t>SUBTOTAL Stormwater</t>
  </si>
  <si>
    <t>infrastructure. For special items, include description and cost estimate per unit.</t>
  </si>
  <si>
    <t>III.(e) LIGHTING &amp; TRAFFIC SIGNALS:</t>
  </si>
  <si>
    <t>LIGHTS</t>
  </si>
  <si>
    <t>TRAFFIC SIGNAL MODIFICATION</t>
  </si>
  <si>
    <t>TRAFFIC SIGNAL INSTALLATION (NEW)</t>
  </si>
  <si>
    <t>SUBTOTAL Light</t>
  </si>
  <si>
    <t xml:space="preserve">IV. PRIVATE STREETS </t>
  </si>
  <si>
    <t>Note:  Private streets includes all inside access easement.</t>
  </si>
  <si>
    <t>SUBTOTAL Private Streets</t>
  </si>
  <si>
    <t>6" LINE</t>
  </si>
  <si>
    <t>8" LINE</t>
  </si>
  <si>
    <r>
      <t>BOOSTER STATION (</t>
    </r>
    <r>
      <rPr>
        <i/>
        <sz val="10"/>
        <color theme="1"/>
        <rFont val="Calibri"/>
        <family val="2"/>
        <scheme val="minor"/>
      </rPr>
      <t>applicant provides quote</t>
    </r>
    <r>
      <rPr>
        <sz val="10"/>
        <color theme="1"/>
        <rFont val="Calibri"/>
        <family val="2"/>
        <scheme val="minor"/>
      </rPr>
      <t>)</t>
    </r>
  </si>
  <si>
    <t xml:space="preserve">Note:  Private Water includes all non-public infrastructure </t>
  </si>
  <si>
    <t>SUBTOTAL Private Water</t>
  </si>
  <si>
    <t>required to serve a development (doesn't include service lines).</t>
  </si>
  <si>
    <t>10" LINE</t>
  </si>
  <si>
    <r>
      <t>PUMP STATIONS (</t>
    </r>
    <r>
      <rPr>
        <i/>
        <sz val="10"/>
        <color theme="1"/>
        <rFont val="Calibri"/>
        <family val="2"/>
        <scheme val="minor"/>
      </rPr>
      <t>applicant to provide quote</t>
    </r>
    <r>
      <rPr>
        <sz val="10"/>
        <color theme="1"/>
        <rFont val="Calibri"/>
        <family val="2"/>
        <scheme val="minor"/>
      </rPr>
      <t>)</t>
    </r>
  </si>
  <si>
    <t xml:space="preserve">Note:  Private Sewer includes all non-public infrastructure </t>
  </si>
  <si>
    <t>SUBTOTAL Private Sewer</t>
  </si>
  <si>
    <t>1 1/4" line</t>
  </si>
  <si>
    <t>1/2" &amp; 3/4" line</t>
  </si>
  <si>
    <t>2" line</t>
  </si>
  <si>
    <t>Larger than 2" line</t>
  </si>
  <si>
    <t>Determined on case-by-case basis</t>
  </si>
  <si>
    <t>Gas Hookups</t>
  </si>
  <si>
    <t>Excess flow valve/shut off valve (residential)</t>
  </si>
  <si>
    <t>Meter Fee (residential)</t>
  </si>
  <si>
    <t>Meter Fee (commercial)</t>
  </si>
  <si>
    <t>Shut off valve (commercial)</t>
  </si>
  <si>
    <t>Gas Sub-total</t>
  </si>
  <si>
    <t>valves</t>
  </si>
  <si>
    <t>square footage</t>
  </si>
  <si>
    <t>Re-inspection Fee</t>
  </si>
  <si>
    <t>Moving Fee</t>
  </si>
  <si>
    <t>Retaining Walls &amp; Racking Permit Fee</t>
  </si>
  <si>
    <t>Based on 2018 IRC Appendix L Permit Fees Valuation Table</t>
  </si>
  <si>
    <t>acres</t>
  </si>
  <si>
    <t>Plan Review Fee (Residential Subdivision)</t>
  </si>
  <si>
    <t>disturbed area acres</t>
  </si>
  <si>
    <t>with grading permit</t>
  </si>
  <si>
    <t>Reinspection Fee (Commercial)</t>
  </si>
  <si>
    <t>Reinspection Fee (Residential)</t>
  </si>
  <si>
    <t>each reinspection</t>
  </si>
  <si>
    <t>prior to surety release</t>
  </si>
  <si>
    <t>Reinspection Fee (Mass Grading)</t>
  </si>
  <si>
    <t>Mass Grading Surety</t>
  </si>
  <si>
    <t>due as Letter of Credit, to be returned at project completion</t>
  </si>
  <si>
    <t>Yes</t>
  </si>
  <si>
    <t>12"</t>
  </si>
  <si>
    <t>*if granted (rate per square foot equal to 1.1 times the most recent annual TDOT Statewide Average Unit Price for 4” concrete sidewalk (Item Number 701-01.01) for the required sidewalk width along the distance of the street frontage that would have otherwise required sidewalk construction)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</si>
</sst>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36" x14ac:knownFonts="1">
    <font>
      <sz val="11"/>
      <color theme="1"/>
      <name val="Calibri"/>
      <family val="2"/>
      <scheme val="minor"/>
    </font>
    <font>
      <sz val="11"/>
      <color theme="1"/>
      <name val="Calibri"/>
      <family val="2"/>
      <scheme val="minor"/>
    </font>
    <font>
      <b/>
      <sz val="12"/>
      <color theme="1"/>
      <name val="Calibri"/>
      <family val="2"/>
      <scheme val="minor"/>
    </font>
    <font>
      <sz val="10"/>
      <color theme="1"/>
      <name val="Calibri"/>
      <family val="2"/>
      <scheme val="minor"/>
    </font>
    <font>
      <sz val="11"/>
      <name val="Calibri"/>
      <family val="2"/>
      <scheme val="minor"/>
    </font>
    <font>
      <sz val="10"/>
      <name val="Calibri"/>
      <family val="2"/>
      <scheme val="minor"/>
    </font>
    <font>
      <sz val="12"/>
      <color theme="1"/>
      <name val="Calibri"/>
      <family val="2"/>
      <scheme val="minor"/>
    </font>
    <font>
      <i/>
      <sz val="11"/>
      <color theme="1"/>
      <name val="Calibri"/>
      <family val="2"/>
      <scheme val="minor"/>
    </font>
    <font>
      <i/>
      <sz val="10"/>
      <color theme="1"/>
      <name val="Calibri"/>
      <family val="2"/>
      <scheme val="minor"/>
    </font>
    <font>
      <i/>
      <sz val="9"/>
      <color theme="1"/>
      <name val="Calibri"/>
      <family val="2"/>
      <scheme val="minor"/>
    </font>
    <font>
      <b/>
      <u/>
      <sz val="11"/>
      <name val="Calibri"/>
      <family val="2"/>
      <scheme val="minor"/>
    </font>
    <font>
      <u/>
      <sz val="11"/>
      <color theme="1"/>
      <name val="Calibri"/>
      <family val="2"/>
      <scheme val="minor"/>
    </font>
    <font>
      <u/>
      <sz val="12"/>
      <color theme="1"/>
      <name val="Calibri"/>
      <family val="2"/>
      <scheme val="minor"/>
    </font>
    <font>
      <b/>
      <u/>
      <sz val="12"/>
      <name val="Calibri"/>
      <family val="2"/>
      <scheme val="minor"/>
    </font>
    <font>
      <sz val="11"/>
      <color rgb="FFFF0000"/>
      <name val="Calibri"/>
      <family val="2"/>
      <scheme val="minor"/>
    </font>
    <font>
      <b/>
      <sz val="11"/>
      <color theme="1"/>
      <name val="Calibri"/>
      <family val="2"/>
      <scheme val="minor"/>
    </font>
    <font>
      <b/>
      <i/>
      <sz val="10"/>
      <color theme="1"/>
      <name val="Calibri"/>
      <family val="2"/>
      <scheme val="minor"/>
    </font>
    <font>
      <b/>
      <i/>
      <sz val="11"/>
      <color theme="1"/>
      <name val="Calibri"/>
      <family val="2"/>
      <scheme val="minor"/>
    </font>
    <font>
      <b/>
      <sz val="11"/>
      <name val="Calibri"/>
      <family val="2"/>
      <scheme val="minor"/>
    </font>
    <font>
      <b/>
      <sz val="14"/>
      <color theme="1"/>
      <name val="Calibri"/>
      <family val="2"/>
      <scheme val="minor"/>
    </font>
    <font>
      <b/>
      <u/>
      <sz val="11"/>
      <color theme="1"/>
      <name val="Calibri"/>
      <family val="2"/>
      <scheme val="minor"/>
    </font>
    <font>
      <b/>
      <sz val="6"/>
      <color theme="1"/>
      <name val="Calibri"/>
      <family val="2"/>
      <scheme val="minor"/>
    </font>
    <font>
      <sz val="6"/>
      <color theme="1"/>
      <name val="Calibri"/>
      <family val="2"/>
      <scheme val="minor"/>
    </font>
    <font>
      <b/>
      <u/>
      <sz val="10"/>
      <color theme="1"/>
      <name val="Calibri"/>
      <family val="2"/>
      <scheme val="minor"/>
    </font>
    <font>
      <u/>
      <sz val="10"/>
      <color theme="1"/>
      <name val="Calibri"/>
      <family val="2"/>
      <scheme val="minor"/>
    </font>
    <font>
      <i/>
      <sz val="8"/>
      <color theme="1"/>
      <name val="Calibri"/>
      <family val="2"/>
      <scheme val="minor"/>
    </font>
    <font>
      <i/>
      <u/>
      <sz val="10"/>
      <color theme="1"/>
      <name val="Calibri"/>
      <family val="2"/>
      <scheme val="minor"/>
    </font>
    <font>
      <b/>
      <sz val="16"/>
      <color theme="0"/>
      <name val="Calibri"/>
      <family val="2"/>
      <scheme val="minor"/>
    </font>
    <font>
      <sz val="16"/>
      <color theme="0"/>
      <name val="Calibri"/>
      <family val="2"/>
      <scheme val="minor"/>
    </font>
    <font>
      <b/>
      <u val="singleAccounting"/>
      <sz val="16"/>
      <color theme="0"/>
      <name val="Calibri"/>
      <family val="2"/>
      <scheme val="minor"/>
    </font>
    <font>
      <b/>
      <sz val="18"/>
      <color theme="0"/>
      <name val="Calibri"/>
      <family val="2"/>
      <scheme val="minor"/>
    </font>
    <font>
      <b/>
      <sz val="12"/>
      <color theme="0"/>
      <name val="Calibri"/>
      <family val="2"/>
      <scheme val="minor"/>
    </font>
    <font>
      <b/>
      <sz val="12"/>
      <name val="Calibri"/>
      <family val="2"/>
      <scheme val="minor"/>
    </font>
    <font>
      <i/>
      <sz val="10"/>
      <color rgb="FFFF0000"/>
      <name val="Calibri"/>
      <family val="2"/>
      <scheme val="minor"/>
    </font>
    <font>
      <u/>
      <sz val="11"/>
      <color theme="10"/>
      <name val="Calibri"/>
      <family val="2"/>
      <scheme val="minor"/>
    </font>
    <font>
      <u/>
      <sz val="9"/>
      <color theme="10"/>
      <name val="Calibri"/>
      <family val="2"/>
      <scheme val="minor"/>
    </font>
  </fonts>
  <fills count="15">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9"/>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rgb="FFF3D0FC"/>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2"/>
        <bgColor indexed="64"/>
      </patternFill>
    </fill>
    <fill>
      <patternFill patternType="solid">
        <fgColor rgb="FF015E32"/>
        <bgColor indexed="64"/>
      </patternFill>
    </fill>
  </fills>
  <borders count="20">
    <border>
      <left/>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right style="medium">
        <color auto="1"/>
      </right>
      <top/>
      <bottom/>
      <diagonal/>
    </border>
    <border>
      <left style="medium">
        <color auto="1"/>
      </left>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indexed="64"/>
      </left>
      <right style="medium">
        <color indexed="64"/>
      </right>
      <top style="medium">
        <color indexed="64"/>
      </top>
      <bottom/>
      <diagonal/>
    </border>
  </borders>
  <cellStyleXfs count="3">
    <xf numFmtId="0" fontId="0" fillId="0" borderId="0"/>
    <xf numFmtId="44" fontId="1" fillId="0" borderId="0" applyFont="0" applyFill="0" applyBorder="0" applyAlignment="0" applyProtection="0"/>
    <xf numFmtId="0" fontId="34" fillId="0" borderId="0" applyNumberFormat="0" applyFill="0" applyBorder="0" applyAlignment="0" applyProtection="0"/>
  </cellStyleXfs>
  <cellXfs count="200">
    <xf numFmtId="0" fontId="0" fillId="0" borderId="0" xfId="0"/>
    <xf numFmtId="0" fontId="2" fillId="0" borderId="0" xfId="0" applyFont="1"/>
    <xf numFmtId="44" fontId="4" fillId="0" borderId="0" xfId="1" applyFont="1" applyBorder="1"/>
    <xf numFmtId="0" fontId="3" fillId="0" borderId="0" xfId="0" applyFont="1" applyAlignment="1">
      <alignment horizontal="right"/>
    </xf>
    <xf numFmtId="2" fontId="4" fillId="0" borderId="0" xfId="0" applyNumberFormat="1" applyFont="1"/>
    <xf numFmtId="2" fontId="4" fillId="2" borderId="0" xfId="0" applyNumberFormat="1" applyFont="1" applyFill="1"/>
    <xf numFmtId="2" fontId="4" fillId="3" borderId="1" xfId="0" applyNumberFormat="1" applyFont="1" applyFill="1" applyBorder="1"/>
    <xf numFmtId="0" fontId="7" fillId="0" borderId="0" xfId="0" applyFont="1"/>
    <xf numFmtId="0" fontId="3" fillId="0" borderId="0" xfId="0" applyFont="1" applyAlignment="1">
      <alignment horizontal="left"/>
    </xf>
    <xf numFmtId="0" fontId="0" fillId="0" borderId="0" xfId="0" applyAlignment="1">
      <alignment horizontal="left"/>
    </xf>
    <xf numFmtId="44" fontId="10" fillId="0" borderId="0" xfId="1" applyFont="1" applyFill="1" applyBorder="1"/>
    <xf numFmtId="0" fontId="11" fillId="0" borderId="0" xfId="0" applyFont="1" applyAlignment="1">
      <alignment horizontal="right"/>
    </xf>
    <xf numFmtId="0" fontId="3" fillId="0" borderId="0" xfId="0" applyFont="1" applyAlignment="1">
      <alignment horizontal="right" vertical="top"/>
    </xf>
    <xf numFmtId="0" fontId="0" fillId="0" borderId="0" xfId="0" applyAlignment="1">
      <alignment horizontal="left" vertical="top"/>
    </xf>
    <xf numFmtId="44" fontId="0" fillId="0" borderId="0" xfId="1" applyFont="1"/>
    <xf numFmtId="44" fontId="5" fillId="0" borderId="0" xfId="1" applyFont="1" applyBorder="1"/>
    <xf numFmtId="2" fontId="5" fillId="3" borderId="1" xfId="0" applyNumberFormat="1" applyFont="1" applyFill="1" applyBorder="1"/>
    <xf numFmtId="0" fontId="11" fillId="0" borderId="0" xfId="0" applyFont="1" applyAlignment="1">
      <alignment horizontal="left"/>
    </xf>
    <xf numFmtId="0" fontId="11" fillId="0" borderId="0" xfId="0" applyFont="1" applyAlignment="1">
      <alignment horizontal="left" vertical="top"/>
    </xf>
    <xf numFmtId="44" fontId="1" fillId="0" borderId="0" xfId="1" applyFont="1"/>
    <xf numFmtId="44" fontId="3" fillId="0" borderId="0" xfId="1" applyFont="1"/>
    <xf numFmtId="0" fontId="3" fillId="0" borderId="0" xfId="0" applyFont="1"/>
    <xf numFmtId="0" fontId="12" fillId="0" borderId="0" xfId="0" applyFont="1" applyAlignment="1">
      <alignment horizontal="right"/>
    </xf>
    <xf numFmtId="44" fontId="13" fillId="0" borderId="0" xfId="1" applyFont="1" applyFill="1" applyBorder="1"/>
    <xf numFmtId="44" fontId="0" fillId="0" borderId="0" xfId="0" applyNumberFormat="1"/>
    <xf numFmtId="0" fontId="0" fillId="0" borderId="0" xfId="0" applyAlignment="1">
      <alignment vertical="center"/>
    </xf>
    <xf numFmtId="44" fontId="4" fillId="2" borderId="0" xfId="1" applyFont="1" applyFill="1" applyBorder="1"/>
    <xf numFmtId="0" fontId="0" fillId="2" borderId="0" xfId="0" applyFill="1"/>
    <xf numFmtId="0" fontId="12" fillId="0" borderId="0" xfId="0" applyFont="1" applyAlignment="1">
      <alignment horizontal="left" vertical="top"/>
    </xf>
    <xf numFmtId="0" fontId="14" fillId="0" borderId="0" xfId="0" applyFont="1" applyAlignment="1">
      <alignment vertical="top" wrapText="1"/>
    </xf>
    <xf numFmtId="44" fontId="0" fillId="2" borderId="0" xfId="0" applyNumberFormat="1" applyFill="1"/>
    <xf numFmtId="0" fontId="15" fillId="4" borderId="0" xfId="0" applyFont="1" applyFill="1"/>
    <xf numFmtId="49" fontId="4" fillId="4" borderId="1" xfId="0" applyNumberFormat="1" applyFont="1" applyFill="1" applyBorder="1" applyAlignment="1">
      <alignment horizontal="right"/>
    </xf>
    <xf numFmtId="49" fontId="18" fillId="4" borderId="1" xfId="0" applyNumberFormat="1" applyFont="1" applyFill="1" applyBorder="1" applyAlignment="1">
      <alignment horizontal="right"/>
    </xf>
    <xf numFmtId="0" fontId="3" fillId="6" borderId="3" xfId="0" applyFont="1" applyFill="1" applyBorder="1" applyAlignment="1">
      <alignment horizontal="right"/>
    </xf>
    <xf numFmtId="0" fontId="3" fillId="6" borderId="0" xfId="0" applyFont="1" applyFill="1" applyAlignment="1">
      <alignment horizontal="right"/>
    </xf>
    <xf numFmtId="0" fontId="3" fillId="6" borderId="10" xfId="0" applyFont="1" applyFill="1" applyBorder="1" applyAlignment="1">
      <alignment horizontal="right"/>
    </xf>
    <xf numFmtId="0" fontId="3" fillId="6" borderId="0" xfId="0" applyFont="1" applyFill="1" applyAlignment="1">
      <alignment horizontal="left"/>
    </xf>
    <xf numFmtId="0" fontId="3" fillId="6" borderId="6" xfId="0" applyFont="1" applyFill="1" applyBorder="1" applyAlignment="1">
      <alignment horizontal="right"/>
    </xf>
    <xf numFmtId="0" fontId="3" fillId="6" borderId="2" xfId="0" applyFont="1" applyFill="1" applyBorder="1" applyAlignment="1">
      <alignment horizontal="left"/>
    </xf>
    <xf numFmtId="0" fontId="3" fillId="6" borderId="2" xfId="0" applyFont="1" applyFill="1" applyBorder="1" applyAlignment="1">
      <alignment horizontal="right"/>
    </xf>
    <xf numFmtId="0" fontId="3" fillId="6" borderId="7" xfId="0" applyFont="1" applyFill="1" applyBorder="1" applyAlignment="1">
      <alignment horizontal="right"/>
    </xf>
    <xf numFmtId="0" fontId="15" fillId="8" borderId="0" xfId="0" applyFont="1" applyFill="1" applyAlignment="1">
      <alignment horizontal="right" wrapText="1"/>
    </xf>
    <xf numFmtId="0" fontId="0" fillId="7" borderId="0" xfId="0" applyFill="1" applyAlignment="1" applyProtection="1">
      <alignment horizontal="left" wrapText="1"/>
      <protection locked="0"/>
    </xf>
    <xf numFmtId="0" fontId="21" fillId="0" borderId="0" xfId="0" applyFont="1" applyAlignment="1">
      <alignment horizontal="left"/>
    </xf>
    <xf numFmtId="0" fontId="0" fillId="0" borderId="0" xfId="0" applyAlignment="1">
      <alignment horizontal="left" vertical="center" wrapText="1"/>
    </xf>
    <xf numFmtId="0" fontId="22" fillId="0" borderId="0" xfId="0" applyFont="1"/>
    <xf numFmtId="0" fontId="23" fillId="10" borderId="3" xfId="0" applyFont="1" applyFill="1" applyBorder="1"/>
    <xf numFmtId="0" fontId="23" fillId="10" borderId="4" xfId="0" applyFont="1" applyFill="1" applyBorder="1"/>
    <xf numFmtId="0" fontId="24" fillId="10" borderId="4" xfId="0" applyFont="1" applyFill="1" applyBorder="1" applyAlignment="1">
      <alignment horizontal="center"/>
    </xf>
    <xf numFmtId="0" fontId="23" fillId="10" borderId="5" xfId="0" applyFont="1" applyFill="1" applyBorder="1" applyAlignment="1">
      <alignment horizontal="center"/>
    </xf>
    <xf numFmtId="0" fontId="3" fillId="10" borderId="10" xfId="0" applyFont="1" applyFill="1" applyBorder="1"/>
    <xf numFmtId="0" fontId="3" fillId="10" borderId="0" xfId="0" applyFont="1" applyFill="1"/>
    <xf numFmtId="44" fontId="3" fillId="10" borderId="0" xfId="0" applyNumberFormat="1" applyFont="1" applyFill="1" applyAlignment="1">
      <alignment horizontal="center"/>
    </xf>
    <xf numFmtId="44" fontId="3" fillId="10" borderId="11" xfId="0" applyNumberFormat="1" applyFont="1" applyFill="1" applyBorder="1" applyAlignment="1">
      <alignment horizontal="center"/>
    </xf>
    <xf numFmtId="44" fontId="25" fillId="10" borderId="0" xfId="0" applyNumberFormat="1" applyFont="1" applyFill="1" applyAlignment="1">
      <alignment horizontal="center"/>
    </xf>
    <xf numFmtId="0" fontId="3" fillId="10" borderId="11" xfId="0" applyFont="1" applyFill="1" applyBorder="1" applyAlignment="1">
      <alignment horizontal="center"/>
    </xf>
    <xf numFmtId="0" fontId="8" fillId="10" borderId="6" xfId="0" applyFont="1" applyFill="1" applyBorder="1"/>
    <xf numFmtId="0" fontId="8" fillId="10" borderId="2" xfId="0" applyFont="1" applyFill="1" applyBorder="1"/>
    <xf numFmtId="0" fontId="8" fillId="10" borderId="2" xfId="0" applyFont="1" applyFill="1" applyBorder="1" applyAlignment="1">
      <alignment horizontal="center"/>
    </xf>
    <xf numFmtId="164" fontId="16" fillId="10" borderId="7" xfId="0" applyNumberFormat="1" applyFont="1" applyFill="1" applyBorder="1" applyAlignment="1">
      <alignment horizontal="center"/>
    </xf>
    <xf numFmtId="0" fontId="23" fillId="11" borderId="3" xfId="0" applyFont="1" applyFill="1" applyBorder="1"/>
    <xf numFmtId="0" fontId="23" fillId="11" borderId="4" xfId="0" applyFont="1" applyFill="1" applyBorder="1"/>
    <xf numFmtId="0" fontId="23" fillId="11" borderId="4" xfId="0" applyFont="1" applyFill="1" applyBorder="1" applyAlignment="1">
      <alignment horizontal="center"/>
    </xf>
    <xf numFmtId="0" fontId="23" fillId="11" borderId="5" xfId="0" applyFont="1" applyFill="1" applyBorder="1" applyAlignment="1">
      <alignment horizontal="center"/>
    </xf>
    <xf numFmtId="0" fontId="3" fillId="11" borderId="10" xfId="0" applyFont="1" applyFill="1" applyBorder="1"/>
    <xf numFmtId="44" fontId="3" fillId="11" borderId="11" xfId="0" applyNumberFormat="1" applyFont="1" applyFill="1" applyBorder="1" applyAlignment="1">
      <alignment horizontal="center"/>
    </xf>
    <xf numFmtId="0" fontId="23" fillId="0" borderId="3" xfId="0" applyFont="1" applyBorder="1"/>
    <xf numFmtId="0" fontId="23" fillId="0" borderId="4" xfId="0" applyFont="1" applyBorder="1"/>
    <xf numFmtId="0" fontId="23" fillId="0" borderId="4" xfId="0" applyFont="1" applyBorder="1" applyAlignment="1">
      <alignment horizontal="center"/>
    </xf>
    <xf numFmtId="0" fontId="23" fillId="0" borderId="5" xfId="0" applyFont="1" applyBorder="1" applyAlignment="1">
      <alignment horizontal="center"/>
    </xf>
    <xf numFmtId="0" fontId="24" fillId="7" borderId="1" xfId="0" applyFont="1" applyFill="1" applyBorder="1" applyAlignment="1" applyProtection="1">
      <alignment horizontal="center"/>
      <protection locked="0"/>
    </xf>
    <xf numFmtId="0" fontId="3" fillId="0" borderId="1" xfId="0" applyFont="1" applyBorder="1" applyAlignment="1">
      <alignment horizontal="center"/>
    </xf>
    <xf numFmtId="164" fontId="3" fillId="0" borderId="1" xfId="0" applyNumberFormat="1" applyFont="1" applyBorder="1" applyAlignment="1">
      <alignment horizontal="center"/>
    </xf>
    <xf numFmtId="0" fontId="3" fillId="0" borderId="1" xfId="0" applyFont="1" applyBorder="1"/>
    <xf numFmtId="164" fontId="24" fillId="7" borderId="1" xfId="0" applyNumberFormat="1" applyFont="1" applyFill="1" applyBorder="1" applyAlignment="1" applyProtection="1">
      <alignment horizontal="center"/>
      <protection locked="0"/>
    </xf>
    <xf numFmtId="0" fontId="8" fillId="12" borderId="10" xfId="0" applyFont="1" applyFill="1" applyBorder="1"/>
    <xf numFmtId="0" fontId="8" fillId="12" borderId="0" xfId="0" applyFont="1" applyFill="1"/>
    <xf numFmtId="0" fontId="8" fillId="12" borderId="0" xfId="0" applyFont="1" applyFill="1" applyAlignment="1">
      <alignment horizontal="center"/>
    </xf>
    <xf numFmtId="0" fontId="8" fillId="12" borderId="6" xfId="0" applyFont="1" applyFill="1" applyBorder="1"/>
    <xf numFmtId="0" fontId="8" fillId="12" borderId="2" xfId="0" applyFont="1" applyFill="1" applyBorder="1"/>
    <xf numFmtId="0" fontId="8" fillId="12" borderId="2" xfId="0" applyFont="1" applyFill="1" applyBorder="1" applyAlignment="1">
      <alignment horizontal="center"/>
    </xf>
    <xf numFmtId="164" fontId="5" fillId="0" borderId="1" xfId="0" applyNumberFormat="1" applyFont="1" applyBorder="1" applyAlignment="1">
      <alignment horizontal="center"/>
    </xf>
    <xf numFmtId="9" fontId="24" fillId="0" borderId="1" xfId="0" applyNumberFormat="1" applyFont="1" applyBorder="1" applyAlignment="1">
      <alignment horizontal="center"/>
    </xf>
    <xf numFmtId="0" fontId="8" fillId="12" borderId="0" xfId="0" applyFont="1" applyFill="1" applyAlignment="1">
      <alignment horizontal="center" vertical="center"/>
    </xf>
    <xf numFmtId="0" fontId="8" fillId="12" borderId="2" xfId="0" applyFont="1" applyFill="1" applyBorder="1" applyAlignment="1">
      <alignment horizontal="center" vertical="center"/>
    </xf>
    <xf numFmtId="0" fontId="8" fillId="0" borderId="0" xfId="0" applyFont="1" applyAlignment="1">
      <alignment horizontal="center" vertical="center"/>
    </xf>
    <xf numFmtId="0" fontId="8" fillId="0" borderId="0" xfId="0" applyFont="1" applyAlignment="1">
      <alignment horizontal="center"/>
    </xf>
    <xf numFmtId="0" fontId="16" fillId="0" borderId="0" xfId="0" applyFont="1" applyAlignment="1">
      <alignment horizontal="center" vertical="center"/>
    </xf>
    <xf numFmtId="164" fontId="16" fillId="0" borderId="11" xfId="0" applyNumberFormat="1" applyFont="1" applyBorder="1" applyAlignment="1">
      <alignment horizontal="center" vertical="center"/>
    </xf>
    <xf numFmtId="0" fontId="23" fillId="0" borderId="0" xfId="0" applyFont="1"/>
    <xf numFmtId="0" fontId="24" fillId="7" borderId="15" xfId="0" applyFont="1" applyFill="1" applyBorder="1" applyAlignment="1" applyProtection="1">
      <alignment horizontal="center"/>
      <protection locked="0"/>
    </xf>
    <xf numFmtId="0" fontId="3" fillId="0" borderId="15" xfId="0" applyFont="1" applyBorder="1" applyAlignment="1">
      <alignment horizontal="center"/>
    </xf>
    <xf numFmtId="164" fontId="5" fillId="0" borderId="15" xfId="0" applyNumberFormat="1" applyFont="1" applyBorder="1" applyAlignment="1">
      <alignment horizontal="center"/>
    </xf>
    <xf numFmtId="164" fontId="3" fillId="0" borderId="15" xfId="0" applyNumberFormat="1" applyFont="1" applyBorder="1" applyAlignment="1">
      <alignment horizontal="center"/>
    </xf>
    <xf numFmtId="0" fontId="8" fillId="12" borderId="17" xfId="0" applyFont="1" applyFill="1" applyBorder="1" applyAlignment="1">
      <alignment horizontal="center" vertical="center"/>
    </xf>
    <xf numFmtId="0" fontId="8" fillId="12" borderId="17" xfId="0" applyFont="1" applyFill="1" applyBorder="1" applyAlignment="1">
      <alignment horizontal="center"/>
    </xf>
    <xf numFmtId="0" fontId="16" fillId="12" borderId="17" xfId="0" applyFont="1" applyFill="1" applyBorder="1" applyAlignment="1">
      <alignment vertical="center" wrapText="1"/>
    </xf>
    <xf numFmtId="0" fontId="16" fillId="12" borderId="2" xfId="0" applyFont="1" applyFill="1" applyBorder="1" applyAlignment="1">
      <alignment vertical="center" wrapText="1"/>
    </xf>
    <xf numFmtId="0" fontId="8" fillId="0" borderId="10" xfId="0" applyFont="1" applyBorder="1" applyAlignment="1">
      <alignment horizontal="center" vertical="center"/>
    </xf>
    <xf numFmtId="164" fontId="3" fillId="7" borderId="1" xfId="0" applyNumberFormat="1" applyFont="1" applyFill="1" applyBorder="1" applyAlignment="1" applyProtection="1">
      <alignment horizontal="center"/>
      <protection locked="0"/>
    </xf>
    <xf numFmtId="0" fontId="3" fillId="7" borderId="12" xfId="0" applyFont="1" applyFill="1" applyBorder="1" applyProtection="1">
      <protection locked="0"/>
    </xf>
    <xf numFmtId="0" fontId="3" fillId="7" borderId="8" xfId="0" applyFont="1" applyFill="1" applyBorder="1" applyProtection="1">
      <protection locked="0"/>
    </xf>
    <xf numFmtId="0" fontId="24" fillId="7" borderId="8" xfId="0" applyFont="1" applyFill="1" applyBorder="1" applyAlignment="1" applyProtection="1">
      <alignment horizontal="center"/>
      <protection locked="0"/>
    </xf>
    <xf numFmtId="0" fontId="3" fillId="7" borderId="9" xfId="0" applyFont="1" applyFill="1" applyBorder="1" applyAlignment="1" applyProtection="1">
      <alignment horizontal="center"/>
      <protection locked="0"/>
    </xf>
    <xf numFmtId="164" fontId="3" fillId="0" borderId="12" xfId="0" applyNumberFormat="1" applyFont="1" applyBorder="1" applyAlignment="1">
      <alignment horizontal="center"/>
    </xf>
    <xf numFmtId="164" fontId="3" fillId="0" borderId="9" xfId="0" applyNumberFormat="1" applyFont="1" applyBorder="1" applyAlignment="1">
      <alignment horizontal="center"/>
    </xf>
    <xf numFmtId="0" fontId="0" fillId="0" borderId="1" xfId="0" applyBorder="1" applyAlignment="1" applyProtection="1">
      <alignment horizontal="center"/>
      <protection locked="0"/>
    </xf>
    <xf numFmtId="0" fontId="8" fillId="0" borderId="10" xfId="0" applyFont="1" applyBorder="1" applyAlignment="1">
      <alignment vertical="center"/>
    </xf>
    <xf numFmtId="0" fontId="8" fillId="0" borderId="0" xfId="0" applyFont="1" applyAlignment="1">
      <alignment vertical="center"/>
    </xf>
    <xf numFmtId="0" fontId="8" fillId="12" borderId="10" xfId="0" applyFont="1" applyFill="1" applyBorder="1" applyAlignment="1">
      <alignment vertical="center"/>
    </xf>
    <xf numFmtId="0" fontId="8" fillId="12" borderId="0" xfId="0" applyFont="1" applyFill="1" applyAlignment="1">
      <alignment vertical="center"/>
    </xf>
    <xf numFmtId="0" fontId="8" fillId="12" borderId="6" xfId="0" applyFont="1" applyFill="1" applyBorder="1" applyAlignment="1">
      <alignment vertical="center"/>
    </xf>
    <xf numFmtId="0" fontId="8" fillId="12" borderId="2" xfId="0" applyFont="1" applyFill="1" applyBorder="1" applyAlignment="1">
      <alignment vertical="center"/>
    </xf>
    <xf numFmtId="164" fontId="24" fillId="0" borderId="1" xfId="0" applyNumberFormat="1" applyFont="1" applyBorder="1" applyAlignment="1" applyProtection="1">
      <alignment horizontal="center"/>
      <protection locked="0"/>
    </xf>
    <xf numFmtId="0" fontId="3" fillId="7" borderId="0" xfId="0" applyFont="1" applyFill="1" applyAlignment="1" applyProtection="1">
      <alignment horizontal="left"/>
      <protection locked="0"/>
    </xf>
    <xf numFmtId="44" fontId="0" fillId="0" borderId="0" xfId="1" applyFont="1" applyFill="1"/>
    <xf numFmtId="0" fontId="8" fillId="11" borderId="6" xfId="0" applyFont="1" applyFill="1" applyBorder="1"/>
    <xf numFmtId="0" fontId="3" fillId="11" borderId="0" xfId="0" applyFont="1" applyFill="1"/>
    <xf numFmtId="0" fontId="24" fillId="11" borderId="0" xfId="0" applyFont="1" applyFill="1" applyAlignment="1">
      <alignment horizontal="center"/>
    </xf>
    <xf numFmtId="0" fontId="3" fillId="11" borderId="0" xfId="0" applyFont="1" applyFill="1" applyAlignment="1">
      <alignment horizontal="center"/>
    </xf>
    <xf numFmtId="164" fontId="3" fillId="11" borderId="0" xfId="0" applyNumberFormat="1" applyFont="1" applyFill="1" applyAlignment="1">
      <alignment horizontal="center"/>
    </xf>
    <xf numFmtId="0" fontId="8" fillId="11" borderId="2" xfId="0" applyFont="1" applyFill="1" applyBorder="1"/>
    <xf numFmtId="0" fontId="26" fillId="11" borderId="2" xfId="0" applyFont="1" applyFill="1" applyBorder="1" applyAlignment="1">
      <alignment horizontal="center"/>
    </xf>
    <xf numFmtId="0" fontId="8" fillId="11" borderId="2" xfId="0" applyFont="1" applyFill="1" applyBorder="1" applyAlignment="1">
      <alignment horizontal="center"/>
    </xf>
    <xf numFmtId="164" fontId="8" fillId="11" borderId="2" xfId="0" applyNumberFormat="1" applyFont="1" applyFill="1" applyBorder="1" applyAlignment="1">
      <alignment horizontal="center"/>
    </xf>
    <xf numFmtId="44" fontId="16" fillId="11" borderId="7" xfId="0" applyNumberFormat="1" applyFont="1" applyFill="1" applyBorder="1" applyAlignment="1">
      <alignment horizontal="center"/>
    </xf>
    <xf numFmtId="2" fontId="4" fillId="2" borderId="4" xfId="0" applyNumberFormat="1" applyFont="1" applyFill="1" applyBorder="1"/>
    <xf numFmtId="2" fontId="4" fillId="2" borderId="2" xfId="0" applyNumberFormat="1" applyFont="1" applyFill="1" applyBorder="1"/>
    <xf numFmtId="0" fontId="6" fillId="5" borderId="3" xfId="0" applyFont="1" applyFill="1" applyBorder="1"/>
    <xf numFmtId="44" fontId="0" fillId="5" borderId="4" xfId="1" applyFont="1" applyFill="1" applyBorder="1"/>
    <xf numFmtId="0" fontId="6" fillId="5" borderId="6" xfId="0" applyFont="1" applyFill="1" applyBorder="1"/>
    <xf numFmtId="44" fontId="0" fillId="5" borderId="2" xfId="1" applyFont="1" applyFill="1" applyBorder="1"/>
    <xf numFmtId="0" fontId="27" fillId="14" borderId="0" xfId="0" applyFont="1" applyFill="1"/>
    <xf numFmtId="2" fontId="28" fillId="14" borderId="0" xfId="0" applyNumberFormat="1" applyFont="1" applyFill="1"/>
    <xf numFmtId="0" fontId="28" fillId="14" borderId="0" xfId="0" applyFont="1" applyFill="1"/>
    <xf numFmtId="44" fontId="27" fillId="14" borderId="0" xfId="0" applyNumberFormat="1" applyFont="1" applyFill="1" applyAlignment="1">
      <alignment horizontal="left"/>
    </xf>
    <xf numFmtId="0" fontId="30" fillId="14" borderId="0" xfId="0" applyFont="1" applyFill="1" applyAlignment="1">
      <alignment vertical="center"/>
    </xf>
    <xf numFmtId="0" fontId="2" fillId="0" borderId="2" xfId="0" applyFont="1" applyBorder="1"/>
    <xf numFmtId="2" fontId="32" fillId="0" borderId="2" xfId="0" applyNumberFormat="1" applyFont="1" applyBorder="1"/>
    <xf numFmtId="0" fontId="27" fillId="14" borderId="0" xfId="0" applyFont="1" applyFill="1" applyAlignment="1">
      <alignment horizontal="left"/>
    </xf>
    <xf numFmtId="44" fontId="31" fillId="14" borderId="0" xfId="0" applyNumberFormat="1" applyFont="1" applyFill="1" applyAlignment="1">
      <alignment horizontal="left"/>
    </xf>
    <xf numFmtId="0" fontId="0" fillId="4" borderId="0" xfId="0" applyFill="1"/>
    <xf numFmtId="164" fontId="29" fillId="14" borderId="0" xfId="0" applyNumberFormat="1" applyFont="1" applyFill="1" applyAlignment="1">
      <alignment horizontal="left"/>
    </xf>
    <xf numFmtId="2" fontId="5" fillId="3" borderId="19" xfId="0" applyNumberFormat="1" applyFont="1" applyFill="1" applyBorder="1"/>
    <xf numFmtId="1" fontId="5" fillId="3" borderId="1" xfId="0" applyNumberFormat="1" applyFont="1" applyFill="1" applyBorder="1"/>
    <xf numFmtId="1" fontId="5" fillId="3" borderId="19" xfId="0" applyNumberFormat="1" applyFont="1" applyFill="1" applyBorder="1"/>
    <xf numFmtId="0" fontId="14" fillId="0" borderId="0" xfId="0" applyFont="1" applyAlignment="1">
      <alignment horizontal="center"/>
    </xf>
    <xf numFmtId="0" fontId="14" fillId="0" borderId="0" xfId="0" applyFont="1" applyAlignment="1">
      <alignment horizontal="center"/>
    </xf>
    <xf numFmtId="0" fontId="7" fillId="3" borderId="5" xfId="0" applyFont="1" applyFill="1" applyBorder="1" applyAlignment="1">
      <alignment horizontal="left" vertical="center" wrapText="1"/>
    </xf>
    <xf numFmtId="0" fontId="7" fillId="3" borderId="7" xfId="0" applyFont="1" applyFill="1" applyBorder="1" applyAlignment="1">
      <alignment horizontal="left" vertical="center" wrapText="1"/>
    </xf>
    <xf numFmtId="44" fontId="33" fillId="2" borderId="12" xfId="1" applyFont="1" applyFill="1" applyBorder="1" applyAlignment="1">
      <alignment horizontal="center"/>
    </xf>
    <xf numFmtId="44" fontId="33" fillId="2" borderId="9" xfId="1" applyFont="1" applyFill="1" applyBorder="1" applyAlignment="1">
      <alignment horizontal="center"/>
    </xf>
    <xf numFmtId="0" fontId="3" fillId="7" borderId="8" xfId="0" applyFont="1" applyFill="1" applyBorder="1" applyAlignment="1" applyProtection="1">
      <alignment horizontal="left"/>
      <protection locked="0"/>
    </xf>
    <xf numFmtId="0" fontId="3" fillId="7" borderId="9" xfId="0" applyFont="1" applyFill="1" applyBorder="1" applyAlignment="1" applyProtection="1">
      <alignment horizontal="left"/>
      <protection locked="0"/>
    </xf>
    <xf numFmtId="0" fontId="19" fillId="5" borderId="3" xfId="0" applyFont="1" applyFill="1" applyBorder="1" applyAlignment="1">
      <alignment horizontal="left"/>
    </xf>
    <xf numFmtId="0" fontId="19" fillId="5" borderId="4" xfId="0" applyFont="1" applyFill="1" applyBorder="1" applyAlignment="1">
      <alignment horizontal="left"/>
    </xf>
    <xf numFmtId="0" fontId="19" fillId="5" borderId="5" xfId="0" applyFont="1" applyFill="1" applyBorder="1" applyAlignment="1">
      <alignment horizontal="left"/>
    </xf>
    <xf numFmtId="0" fontId="16" fillId="5" borderId="6" xfId="0" applyFont="1" applyFill="1" applyBorder="1" applyAlignment="1">
      <alignment horizontal="left"/>
    </xf>
    <xf numFmtId="0" fontId="16" fillId="5" borderId="2" xfId="0" applyFont="1" applyFill="1" applyBorder="1" applyAlignment="1">
      <alignment horizontal="left"/>
    </xf>
    <xf numFmtId="0" fontId="16" fillId="5" borderId="0" xfId="0" applyFont="1" applyFill="1" applyAlignment="1">
      <alignment horizontal="left"/>
    </xf>
    <xf numFmtId="0" fontId="16" fillId="5" borderId="7" xfId="0" applyFont="1" applyFill="1" applyBorder="1" applyAlignment="1">
      <alignment horizontal="left"/>
    </xf>
    <xf numFmtId="0" fontId="25" fillId="10" borderId="0" xfId="0" applyFont="1" applyFill="1" applyAlignment="1">
      <alignment horizontal="right"/>
    </xf>
    <xf numFmtId="0" fontId="3" fillId="0" borderId="12" xfId="0" applyFont="1" applyBorder="1" applyAlignment="1">
      <alignment horizontal="left"/>
    </xf>
    <xf numFmtId="0" fontId="3" fillId="0" borderId="9" xfId="0" applyFont="1" applyBorder="1" applyAlignment="1">
      <alignment horizontal="left"/>
    </xf>
    <xf numFmtId="0" fontId="15" fillId="8" borderId="3" xfId="0" applyFont="1" applyFill="1" applyBorder="1" applyAlignment="1">
      <alignment horizontal="left"/>
    </xf>
    <xf numFmtId="0" fontId="15" fillId="8" borderId="4" xfId="0" applyFont="1" applyFill="1" applyBorder="1" applyAlignment="1">
      <alignment horizontal="left"/>
    </xf>
    <xf numFmtId="0" fontId="20" fillId="8" borderId="4" xfId="0" applyFont="1" applyFill="1" applyBorder="1" applyAlignment="1" applyProtection="1">
      <alignment horizontal="left"/>
      <protection locked="0"/>
    </xf>
    <xf numFmtId="0" fontId="20" fillId="8" borderId="5" xfId="0" applyFont="1" applyFill="1" applyBorder="1" applyAlignment="1" applyProtection="1">
      <alignment horizontal="left"/>
      <protection locked="0"/>
    </xf>
    <xf numFmtId="0" fontId="0" fillId="8" borderId="6" xfId="0" applyFill="1" applyBorder="1" applyAlignment="1">
      <alignment horizontal="left" wrapText="1"/>
    </xf>
    <xf numFmtId="0" fontId="0" fillId="8" borderId="2" xfId="0" applyFill="1" applyBorder="1" applyAlignment="1">
      <alignment horizontal="left" wrapText="1"/>
    </xf>
    <xf numFmtId="0" fontId="0" fillId="8" borderId="7" xfId="0" applyFill="1" applyBorder="1" applyAlignment="1">
      <alignment horizontal="left" wrapText="1"/>
    </xf>
    <xf numFmtId="0" fontId="0" fillId="7" borderId="4" xfId="0" applyFill="1" applyBorder="1" applyAlignment="1" applyProtection="1">
      <alignment horizontal="center" wrapText="1"/>
      <protection locked="0"/>
    </xf>
    <xf numFmtId="0" fontId="0" fillId="9" borderId="3" xfId="0" applyFill="1" applyBorder="1" applyAlignment="1">
      <alignment horizontal="left" vertical="center" wrapText="1"/>
    </xf>
    <xf numFmtId="0" fontId="0" fillId="9" borderId="4" xfId="0" applyFill="1" applyBorder="1" applyAlignment="1">
      <alignment horizontal="left" vertical="center" wrapText="1"/>
    </xf>
    <xf numFmtId="0" fontId="0" fillId="9" borderId="5" xfId="0" applyFill="1" applyBorder="1" applyAlignment="1">
      <alignment horizontal="left" vertical="center" wrapText="1"/>
    </xf>
    <xf numFmtId="0" fontId="0" fillId="9" borderId="6" xfId="0" applyFill="1" applyBorder="1" applyAlignment="1">
      <alignment horizontal="left" vertical="center" wrapText="1"/>
    </xf>
    <xf numFmtId="0" fontId="0" fillId="9" borderId="2" xfId="0" applyFill="1" applyBorder="1" applyAlignment="1">
      <alignment horizontal="left" vertical="center" wrapText="1"/>
    </xf>
    <xf numFmtId="0" fontId="0" fillId="9" borderId="7" xfId="0" applyFill="1" applyBorder="1" applyAlignment="1">
      <alignment horizontal="left" vertical="center" wrapText="1"/>
    </xf>
    <xf numFmtId="0" fontId="16" fillId="12" borderId="0" xfId="0" applyFont="1" applyFill="1" applyAlignment="1">
      <alignment horizontal="center" vertical="center" wrapText="1"/>
    </xf>
    <xf numFmtId="0" fontId="16" fillId="12" borderId="2" xfId="0" applyFont="1" applyFill="1" applyBorder="1" applyAlignment="1">
      <alignment horizontal="center" vertical="center" wrapText="1"/>
    </xf>
    <xf numFmtId="164" fontId="16" fillId="12" borderId="11" xfId="0" applyNumberFormat="1" applyFont="1" applyFill="1" applyBorder="1" applyAlignment="1">
      <alignment horizontal="center" vertical="center"/>
    </xf>
    <xf numFmtId="164" fontId="16" fillId="12" borderId="7" xfId="0" applyNumberFormat="1" applyFont="1" applyFill="1" applyBorder="1" applyAlignment="1">
      <alignment horizontal="center" vertical="center"/>
    </xf>
    <xf numFmtId="164" fontId="3" fillId="13" borderId="12" xfId="0" applyNumberFormat="1" applyFont="1" applyFill="1" applyBorder="1" applyAlignment="1">
      <alignment horizontal="center"/>
    </xf>
    <xf numFmtId="164" fontId="3" fillId="13" borderId="9" xfId="0" applyNumberFormat="1" applyFont="1" applyFill="1" applyBorder="1" applyAlignment="1">
      <alignment horizontal="center"/>
    </xf>
    <xf numFmtId="164" fontId="16" fillId="12" borderId="18" xfId="0" applyNumberFormat="1" applyFont="1" applyFill="1" applyBorder="1" applyAlignment="1">
      <alignment horizontal="center" vertical="center"/>
    </xf>
    <xf numFmtId="0" fontId="8" fillId="12" borderId="10" xfId="0" applyFont="1" applyFill="1" applyBorder="1" applyAlignment="1">
      <alignment horizontal="center" vertical="center"/>
    </xf>
    <xf numFmtId="0" fontId="8" fillId="12" borderId="6" xfId="0" applyFont="1" applyFill="1" applyBorder="1" applyAlignment="1">
      <alignment horizontal="center" vertical="center"/>
    </xf>
    <xf numFmtId="0" fontId="3" fillId="0" borderId="13" xfId="0" applyFont="1" applyBorder="1" applyAlignment="1">
      <alignment horizontal="left"/>
    </xf>
    <xf numFmtId="0" fontId="3" fillId="0" borderId="14" xfId="0" applyFont="1" applyBorder="1" applyAlignment="1">
      <alignment horizontal="left"/>
    </xf>
    <xf numFmtId="0" fontId="8" fillId="12" borderId="16" xfId="0" applyFont="1" applyFill="1" applyBorder="1" applyAlignment="1">
      <alignment horizontal="center" vertical="center"/>
    </xf>
    <xf numFmtId="0" fontId="16" fillId="12" borderId="17" xfId="0" applyFont="1" applyFill="1" applyBorder="1" applyAlignment="1">
      <alignment horizontal="center" vertical="center" wrapText="1"/>
    </xf>
    <xf numFmtId="0" fontId="8" fillId="12" borderId="3" xfId="0" applyFont="1" applyFill="1" applyBorder="1" applyAlignment="1">
      <alignment horizontal="left" vertical="center"/>
    </xf>
    <xf numFmtId="0" fontId="8" fillId="12" borderId="4" xfId="0" applyFont="1" applyFill="1" applyBorder="1" applyAlignment="1">
      <alignment horizontal="left" vertical="center"/>
    </xf>
    <xf numFmtId="0" fontId="8" fillId="12" borderId="6" xfId="0" applyFont="1" applyFill="1" applyBorder="1" applyAlignment="1">
      <alignment horizontal="left" vertical="center"/>
    </xf>
    <xf numFmtId="0" fontId="8" fillId="12" borderId="2" xfId="0" applyFont="1" applyFill="1" applyBorder="1" applyAlignment="1">
      <alignment horizontal="left" vertical="center"/>
    </xf>
    <xf numFmtId="0" fontId="16" fillId="12" borderId="4" xfId="0" applyFont="1" applyFill="1" applyBorder="1" applyAlignment="1">
      <alignment horizontal="center" vertical="center" wrapText="1"/>
    </xf>
    <xf numFmtId="0" fontId="16" fillId="12" borderId="4" xfId="0" applyFont="1" applyFill="1" applyBorder="1" applyAlignment="1">
      <alignment horizontal="right" vertical="center"/>
    </xf>
    <xf numFmtId="0" fontId="16" fillId="12" borderId="2" xfId="0" applyFont="1" applyFill="1" applyBorder="1" applyAlignment="1">
      <alignment horizontal="right" vertical="center"/>
    </xf>
    <xf numFmtId="0" fontId="35" fillId="0" borderId="0" xfId="2" applyFont="1" applyAlignment="1">
      <alignment horizontal="left" vertical="top" wrapText="1"/>
    </xf>
  </cellXfs>
  <cellStyles count="3">
    <cellStyle name="Currency" xfId="1" builtinId="4"/>
    <cellStyle name="Hyperlink" xfId="2" builtinId="8"/>
    <cellStyle name="Normal" xfId="0" builtinId="0"/>
  </cellStyles>
  <dxfs count="2">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015E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142</xdr:row>
      <xdr:rowOff>1</xdr:rowOff>
    </xdr:from>
    <xdr:to>
      <xdr:col>4</xdr:col>
      <xdr:colOff>2076450</xdr:colOff>
      <xdr:row>147</xdr:row>
      <xdr:rowOff>196091</xdr:rowOff>
    </xdr:to>
    <xdr:pic>
      <xdr:nvPicPr>
        <xdr:cNvPr id="2" name="Picture 1">
          <a:extLst>
            <a:ext uri="{FF2B5EF4-FFF2-40B4-BE49-F238E27FC236}">
              <a16:creationId xmlns:a16="http://schemas.microsoft.com/office/drawing/2014/main" id="{72B61DDF-4D2F-9077-5C49-08272B8F68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9822776"/>
          <a:ext cx="2076450" cy="11962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125</xdr:row>
      <xdr:rowOff>0</xdr:rowOff>
    </xdr:from>
    <xdr:to>
      <xdr:col>4</xdr:col>
      <xdr:colOff>6581775</xdr:colOff>
      <xdr:row>126</xdr:row>
      <xdr:rowOff>85725</xdr:rowOff>
    </xdr:to>
    <xdr:pic>
      <xdr:nvPicPr>
        <xdr:cNvPr id="3" name="Picture 2">
          <a:extLst>
            <a:ext uri="{FF2B5EF4-FFF2-40B4-BE49-F238E27FC236}">
              <a16:creationId xmlns:a16="http://schemas.microsoft.com/office/drawing/2014/main" id="{A03B940E-D6AC-C659-8919-18B6E159F3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020050" y="26422350"/>
          <a:ext cx="6581775" cy="285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153</xdr:row>
      <xdr:rowOff>0</xdr:rowOff>
    </xdr:from>
    <xdr:to>
      <xdr:col>9</xdr:col>
      <xdr:colOff>0</xdr:colOff>
      <xdr:row>154</xdr:row>
      <xdr:rowOff>76200</xdr:rowOff>
    </xdr:to>
    <xdr:pic>
      <xdr:nvPicPr>
        <xdr:cNvPr id="5" name="Picture 4">
          <a:extLst>
            <a:ext uri="{FF2B5EF4-FFF2-40B4-BE49-F238E27FC236}">
              <a16:creationId xmlns:a16="http://schemas.microsoft.com/office/drawing/2014/main" id="{84031361-8C6D-09B1-F0BD-9003D0987B1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020050" y="31451550"/>
          <a:ext cx="8562975" cy="276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3590925</xdr:colOff>
      <xdr:row>170</xdr:row>
      <xdr:rowOff>9525</xdr:rowOff>
    </xdr:from>
    <xdr:to>
      <xdr:col>8</xdr:col>
      <xdr:colOff>552450</xdr:colOff>
      <xdr:row>172</xdr:row>
      <xdr:rowOff>47625</xdr:rowOff>
    </xdr:to>
    <xdr:pic>
      <xdr:nvPicPr>
        <xdr:cNvPr id="7" name="Picture 6">
          <a:extLst>
            <a:ext uri="{FF2B5EF4-FFF2-40B4-BE49-F238E27FC236}">
              <a16:creationId xmlns:a16="http://schemas.microsoft.com/office/drawing/2014/main" id="{125881AE-EA36-55FE-B336-FFDB7A32FA7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8010525" y="34861500"/>
          <a:ext cx="8562975" cy="438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tn.gov/tdot/tdot-construction-division/transportation-construction-division-resources/transportation-construction-price-information.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66F8C-B598-4E4D-889B-E83C5B4BDAB2}">
  <sheetPr>
    <tabColor theme="0"/>
  </sheetPr>
  <dimension ref="A1:F206"/>
  <sheetViews>
    <sheetView tabSelected="1" workbookViewId="0">
      <pane ySplit="2" topLeftCell="A3" activePane="bottomLeft" state="frozen"/>
      <selection pane="bottomLeft" activeCell="E17" sqref="E17"/>
    </sheetView>
  </sheetViews>
  <sheetFormatPr defaultRowHeight="15" x14ac:dyDescent="0.25"/>
  <cols>
    <col min="1" max="1" width="40" customWidth="1"/>
    <col min="2" max="2" width="16.85546875" bestFit="1" customWidth="1"/>
    <col min="3" max="3" width="11.5703125" style="4" bestFit="1" customWidth="1"/>
    <col min="4" max="4" width="54.7109375" customWidth="1"/>
    <col min="5" max="5" width="99.85546875" bestFit="1" customWidth="1"/>
    <col min="6" max="6" width="1.140625" customWidth="1"/>
  </cols>
  <sheetData>
    <row r="1" spans="1:6" s="135" customFormat="1" ht="37.5" customHeight="1" x14ac:dyDescent="0.5">
      <c r="A1" s="137" t="s">
        <v>0</v>
      </c>
      <c r="B1" s="133"/>
      <c r="C1" s="134"/>
      <c r="D1" s="143">
        <f>B206</f>
        <v>0</v>
      </c>
      <c r="E1" s="136"/>
    </row>
    <row r="2" spans="1:6" s="1" customFormat="1" ht="16.5" thickBot="1" x14ac:dyDescent="0.3">
      <c r="A2" s="138" t="s">
        <v>1</v>
      </c>
      <c r="B2" s="138" t="s">
        <v>2</v>
      </c>
      <c r="C2" s="139" t="s">
        <v>3</v>
      </c>
      <c r="D2" s="138" t="s">
        <v>4</v>
      </c>
      <c r="E2" s="138" t="s">
        <v>5</v>
      </c>
      <c r="F2" s="138"/>
    </row>
    <row r="3" spans="1:6" ht="21" x14ac:dyDescent="0.35">
      <c r="A3" s="133" t="s">
        <v>6</v>
      </c>
      <c r="B3" s="1"/>
    </row>
    <row r="4" spans="1:6" ht="15.75" thickBot="1" x14ac:dyDescent="0.3">
      <c r="A4" t="s">
        <v>7</v>
      </c>
      <c r="B4" s="2">
        <f>SUM(B5:B6)</f>
        <v>0</v>
      </c>
      <c r="C4" s="5"/>
      <c r="E4" t="s">
        <v>8</v>
      </c>
    </row>
    <row r="5" spans="1:6" ht="15.75" thickBot="1" x14ac:dyDescent="0.3">
      <c r="A5" s="3" t="s">
        <v>9</v>
      </c>
      <c r="B5" s="15">
        <f>IF(C5=0,0,IF(C5&lt;=5000,75,IF(C5&lt;=20000,75+(C5-5000)*0.03,IF(C5&lt;=100000,75+(15000*0.03)+(C5-20000)*0.02,IF(C5&gt;100000,75+(15000*0.03)+(80000*0.02)+(C5-100000)*0.01)))))</f>
        <v>0</v>
      </c>
      <c r="C5" s="16"/>
      <c r="D5" t="s">
        <v>10</v>
      </c>
    </row>
    <row r="6" spans="1:6" ht="15.75" thickBot="1" x14ac:dyDescent="0.3">
      <c r="A6" s="3" t="s">
        <v>11</v>
      </c>
      <c r="B6" s="15">
        <f>IF(C6=0,0,75+(10*C6))</f>
        <v>0</v>
      </c>
      <c r="C6" s="16"/>
      <c r="D6" t="s">
        <v>12</v>
      </c>
    </row>
    <row r="7" spans="1:6" ht="15.75" thickBot="1" x14ac:dyDescent="0.3">
      <c r="A7" t="s">
        <v>13</v>
      </c>
      <c r="B7" s="2">
        <f>IF(C7=0,0,(25*C7))</f>
        <v>0</v>
      </c>
      <c r="C7" s="6"/>
      <c r="D7" t="s">
        <v>14</v>
      </c>
      <c r="E7" t="s">
        <v>15</v>
      </c>
    </row>
    <row r="8" spans="1:6" ht="15.75" thickBot="1" x14ac:dyDescent="0.3">
      <c r="A8" t="s">
        <v>16</v>
      </c>
      <c r="B8" s="2">
        <f>IF(C8=0,0,IF(C8&lt;=5,400,IF(C8&gt;5,400+(C8-5)*5)))</f>
        <v>0</v>
      </c>
      <c r="C8" s="6"/>
      <c r="D8" t="s">
        <v>17</v>
      </c>
      <c r="E8" t="s">
        <v>18</v>
      </c>
    </row>
    <row r="9" spans="1:6" ht="15.75" thickBot="1" x14ac:dyDescent="0.3">
      <c r="A9" t="s">
        <v>19</v>
      </c>
      <c r="B9" s="2">
        <f>IF(C9=0,0,IF(C9&lt;=5,400,IF(C9&gt;5,400+(C9-5)*5)))</f>
        <v>0</v>
      </c>
      <c r="C9" s="6"/>
      <c r="D9" t="s">
        <v>17</v>
      </c>
      <c r="E9" t="s">
        <v>18</v>
      </c>
    </row>
    <row r="10" spans="1:6" ht="15.75" thickBot="1" x14ac:dyDescent="0.3">
      <c r="A10" t="s">
        <v>20</v>
      </c>
      <c r="B10" s="2">
        <f>IF(C10=0,0,IF(C10&lt;=5,1500,IF(C10&gt;5,1500+(C10-5)*2.5)))</f>
        <v>0</v>
      </c>
      <c r="C10" s="6"/>
      <c r="D10" t="s">
        <v>17</v>
      </c>
      <c r="E10" t="s">
        <v>18</v>
      </c>
    </row>
    <row r="11" spans="1:6" ht="15.75" thickBot="1" x14ac:dyDescent="0.3">
      <c r="A11" t="s">
        <v>21</v>
      </c>
      <c r="B11" s="2">
        <f>100*C11</f>
        <v>0</v>
      </c>
      <c r="C11" s="6"/>
      <c r="D11" t="s">
        <v>22</v>
      </c>
      <c r="E11" t="s">
        <v>18</v>
      </c>
    </row>
    <row r="12" spans="1:6" ht="15.75" thickBot="1" x14ac:dyDescent="0.3">
      <c r="A12" t="s">
        <v>23</v>
      </c>
      <c r="B12" s="2">
        <f>100*C12</f>
        <v>0</v>
      </c>
      <c r="C12" s="6"/>
      <c r="D12" t="s">
        <v>22</v>
      </c>
      <c r="E12" t="s">
        <v>24</v>
      </c>
    </row>
    <row r="13" spans="1:6" ht="15.75" thickBot="1" x14ac:dyDescent="0.3">
      <c r="A13" t="s">
        <v>25</v>
      </c>
      <c r="B13" s="26"/>
      <c r="C13" s="5"/>
      <c r="D13" s="27"/>
      <c r="E13" s="7" t="s">
        <v>26</v>
      </c>
    </row>
    <row r="14" spans="1:6" ht="15.75" thickBot="1" x14ac:dyDescent="0.3">
      <c r="A14" t="s">
        <v>27</v>
      </c>
      <c r="B14" s="6"/>
      <c r="C14" s="5"/>
      <c r="D14" s="199" t="s">
        <v>363</v>
      </c>
      <c r="E14" t="s">
        <v>28</v>
      </c>
    </row>
    <row r="15" spans="1:6" ht="15.75" x14ac:dyDescent="0.25">
      <c r="A15" s="22" t="s">
        <v>30</v>
      </c>
      <c r="B15" s="23">
        <f>SUM(B4,B7:B14)</f>
        <v>0</v>
      </c>
      <c r="C15" s="8"/>
      <c r="D15" s="199"/>
    </row>
    <row r="16" spans="1:6" ht="18.75" customHeight="1" x14ac:dyDescent="0.25">
      <c r="A16" s="11"/>
      <c r="B16" s="10"/>
      <c r="C16" s="8"/>
      <c r="D16" s="199"/>
    </row>
    <row r="17" spans="1:4" ht="21" x14ac:dyDescent="0.35">
      <c r="A17" s="133" t="s">
        <v>31</v>
      </c>
    </row>
    <row r="18" spans="1:4" ht="15.75" thickBot="1" x14ac:dyDescent="0.3">
      <c r="A18" s="17" t="s">
        <v>32</v>
      </c>
    </row>
    <row r="19" spans="1:4" ht="15.75" thickBot="1" x14ac:dyDescent="0.3">
      <c r="A19" s="9" t="s">
        <v>33</v>
      </c>
      <c r="B19" s="2" cm="1">
        <f t="array" ref="B19">_xlfn.IFS(C19=0,0,C19&lt;=10000,C19*0.55,C19&lt;=50000,C19*0.55,C19&lt;=100000,C19*0.45,C19&gt;100000,C19*0.4)</f>
        <v>0</v>
      </c>
      <c r="C19" s="6"/>
      <c r="D19" t="s">
        <v>10</v>
      </c>
    </row>
    <row r="20" spans="1:4" ht="15.75" thickBot="1" x14ac:dyDescent="0.3">
      <c r="A20" s="9" t="s">
        <v>34</v>
      </c>
      <c r="B20" s="2" cm="1">
        <f t="array" ref="B20">_xlfn.IFS(C20=0,0,C20&lt;=10000,C20*0.3,C20&lt;=50000,C20*0.2,C20&lt;=100000,C20*0.15,C20&gt;=100000,C20*0.1)/2</f>
        <v>0</v>
      </c>
      <c r="C20" s="6"/>
      <c r="D20" t="s">
        <v>10</v>
      </c>
    </row>
    <row r="21" spans="1:4" ht="15.75" thickBot="1" x14ac:dyDescent="0.3">
      <c r="A21" s="9" t="s">
        <v>35</v>
      </c>
      <c r="B21" s="2" cm="1">
        <f t="array" ref="B21">_xlfn.IFS(C21=0,0,C21&lt;=10000,C21*0.55,C21&lt;=50000,C21*0.55,C21&lt;=100000,C21*0.45,C21&gt;100000,C21*0.4)/2</f>
        <v>0</v>
      </c>
      <c r="C21" s="6"/>
      <c r="D21" t="s">
        <v>10</v>
      </c>
    </row>
    <row r="22" spans="1:4" ht="15.75" thickBot="1" x14ac:dyDescent="0.3">
      <c r="A22" s="9" t="s">
        <v>36</v>
      </c>
      <c r="B22" s="19">
        <f>C22*0.3</f>
        <v>0</v>
      </c>
      <c r="C22" s="6"/>
      <c r="D22" t="s">
        <v>10</v>
      </c>
    </row>
    <row r="23" spans="1:4" ht="15.75" thickBot="1" x14ac:dyDescent="0.3">
      <c r="A23" s="9" t="s">
        <v>37</v>
      </c>
      <c r="B23" s="19">
        <f>150*C23</f>
        <v>0</v>
      </c>
      <c r="C23" s="6"/>
      <c r="D23" t="s">
        <v>38</v>
      </c>
    </row>
    <row r="24" spans="1:4" ht="15.75" thickBot="1" x14ac:dyDescent="0.3">
      <c r="A24" s="17" t="s">
        <v>39</v>
      </c>
    </row>
    <row r="25" spans="1:4" ht="15.75" thickBot="1" x14ac:dyDescent="0.3">
      <c r="A25" s="9" t="s">
        <v>40</v>
      </c>
      <c r="B25" s="19">
        <f>C25*50</f>
        <v>0</v>
      </c>
      <c r="C25" s="6"/>
      <c r="D25" t="s">
        <v>41</v>
      </c>
    </row>
    <row r="26" spans="1:4" ht="15.75" thickBot="1" x14ac:dyDescent="0.3">
      <c r="A26" s="9" t="s">
        <v>42</v>
      </c>
      <c r="B26" s="19">
        <f>C26*30</f>
        <v>0</v>
      </c>
      <c r="C26" s="6"/>
    </row>
    <row r="27" spans="1:4" ht="15.75" thickBot="1" x14ac:dyDescent="0.3">
      <c r="A27" s="9" t="s">
        <v>43</v>
      </c>
      <c r="B27" s="14">
        <f>SUM(B28:B43)</f>
        <v>0</v>
      </c>
      <c r="C27" s="4">
        <f>SUM(C28:C43)</f>
        <v>0</v>
      </c>
    </row>
    <row r="28" spans="1:4" ht="15.75" thickBot="1" x14ac:dyDescent="0.3">
      <c r="A28" s="12" t="s">
        <v>44</v>
      </c>
      <c r="B28" s="20">
        <f>C28*10</f>
        <v>0</v>
      </c>
      <c r="C28" s="16"/>
      <c r="D28" s="21" t="s">
        <v>45</v>
      </c>
    </row>
    <row r="29" spans="1:4" ht="15.75" thickBot="1" x14ac:dyDescent="0.3">
      <c r="A29" s="12" t="s">
        <v>46</v>
      </c>
      <c r="B29" s="20">
        <f t="shared" ref="B29:B43" si="0">C29*10</f>
        <v>0</v>
      </c>
      <c r="C29" s="16"/>
      <c r="D29" s="21" t="s">
        <v>45</v>
      </c>
    </row>
    <row r="30" spans="1:4" ht="15.75" thickBot="1" x14ac:dyDescent="0.3">
      <c r="A30" s="12" t="s">
        <v>47</v>
      </c>
      <c r="B30" s="20">
        <f t="shared" si="0"/>
        <v>0</v>
      </c>
      <c r="C30" s="16"/>
      <c r="D30" s="21" t="s">
        <v>45</v>
      </c>
    </row>
    <row r="31" spans="1:4" ht="15.75" thickBot="1" x14ac:dyDescent="0.3">
      <c r="A31" s="12" t="s">
        <v>48</v>
      </c>
      <c r="B31" s="20">
        <f t="shared" si="0"/>
        <v>0</v>
      </c>
      <c r="C31" s="16"/>
      <c r="D31" s="21" t="s">
        <v>45</v>
      </c>
    </row>
    <row r="32" spans="1:4" ht="15.75" thickBot="1" x14ac:dyDescent="0.3">
      <c r="A32" s="12" t="s">
        <v>49</v>
      </c>
      <c r="B32" s="20">
        <f t="shared" si="0"/>
        <v>0</v>
      </c>
      <c r="C32" s="16"/>
      <c r="D32" s="21" t="s">
        <v>45</v>
      </c>
    </row>
    <row r="33" spans="1:4" ht="15.75" thickBot="1" x14ac:dyDescent="0.3">
      <c r="A33" s="12" t="s">
        <v>50</v>
      </c>
      <c r="B33" s="20">
        <f t="shared" si="0"/>
        <v>0</v>
      </c>
      <c r="C33" s="16"/>
      <c r="D33" s="21" t="s">
        <v>45</v>
      </c>
    </row>
    <row r="34" spans="1:4" ht="15.75" thickBot="1" x14ac:dyDescent="0.3">
      <c r="A34" s="12" t="s">
        <v>51</v>
      </c>
      <c r="B34" s="20">
        <f t="shared" si="0"/>
        <v>0</v>
      </c>
      <c r="C34" s="16"/>
      <c r="D34" s="21" t="s">
        <v>45</v>
      </c>
    </row>
    <row r="35" spans="1:4" ht="15.75" thickBot="1" x14ac:dyDescent="0.3">
      <c r="A35" s="12" t="s">
        <v>52</v>
      </c>
      <c r="B35" s="20">
        <f t="shared" si="0"/>
        <v>0</v>
      </c>
      <c r="C35" s="16"/>
      <c r="D35" s="21" t="s">
        <v>45</v>
      </c>
    </row>
    <row r="36" spans="1:4" ht="15.75" thickBot="1" x14ac:dyDescent="0.3">
      <c r="A36" s="12" t="s">
        <v>53</v>
      </c>
      <c r="B36" s="20">
        <f t="shared" si="0"/>
        <v>0</v>
      </c>
      <c r="C36" s="16"/>
      <c r="D36" s="21" t="s">
        <v>45</v>
      </c>
    </row>
    <row r="37" spans="1:4" ht="15.75" thickBot="1" x14ac:dyDescent="0.3">
      <c r="A37" s="12" t="s">
        <v>54</v>
      </c>
      <c r="B37" s="20">
        <f t="shared" si="0"/>
        <v>0</v>
      </c>
      <c r="C37" s="16"/>
      <c r="D37" s="21" t="s">
        <v>45</v>
      </c>
    </row>
    <row r="38" spans="1:4" ht="15.75" thickBot="1" x14ac:dyDescent="0.3">
      <c r="A38" s="12" t="s">
        <v>55</v>
      </c>
      <c r="B38" s="20">
        <f t="shared" si="0"/>
        <v>0</v>
      </c>
      <c r="C38" s="16"/>
      <c r="D38" s="21" t="s">
        <v>45</v>
      </c>
    </row>
    <row r="39" spans="1:4" ht="15.75" thickBot="1" x14ac:dyDescent="0.3">
      <c r="A39" s="12" t="s">
        <v>56</v>
      </c>
      <c r="B39" s="20">
        <f t="shared" si="0"/>
        <v>0</v>
      </c>
      <c r="C39" s="16"/>
      <c r="D39" s="21" t="s">
        <v>45</v>
      </c>
    </row>
    <row r="40" spans="1:4" ht="15.75" thickBot="1" x14ac:dyDescent="0.3">
      <c r="A40" s="12" t="s">
        <v>57</v>
      </c>
      <c r="B40" s="20">
        <f t="shared" si="0"/>
        <v>0</v>
      </c>
      <c r="C40" s="16"/>
      <c r="D40" s="21" t="s">
        <v>45</v>
      </c>
    </row>
    <row r="41" spans="1:4" ht="15.75" thickBot="1" x14ac:dyDescent="0.3">
      <c r="A41" s="12" t="s">
        <v>58</v>
      </c>
      <c r="B41" s="20">
        <f t="shared" si="0"/>
        <v>0</v>
      </c>
      <c r="C41" s="16"/>
      <c r="D41" s="21" t="s">
        <v>45</v>
      </c>
    </row>
    <row r="42" spans="1:4" ht="15.75" thickBot="1" x14ac:dyDescent="0.3">
      <c r="A42" s="12" t="s">
        <v>59</v>
      </c>
      <c r="B42" s="20">
        <f t="shared" si="0"/>
        <v>0</v>
      </c>
      <c r="C42" s="16"/>
      <c r="D42" s="21" t="s">
        <v>45</v>
      </c>
    </row>
    <row r="43" spans="1:4" ht="15.75" thickBot="1" x14ac:dyDescent="0.3">
      <c r="A43" s="12" t="s">
        <v>60</v>
      </c>
      <c r="B43" s="20">
        <f t="shared" si="0"/>
        <v>0</v>
      </c>
      <c r="C43" s="16"/>
      <c r="D43" s="21" t="s">
        <v>45</v>
      </c>
    </row>
    <row r="44" spans="1:4" ht="15.75" thickBot="1" x14ac:dyDescent="0.3">
      <c r="A44" s="18" t="s">
        <v>61</v>
      </c>
    </row>
    <row r="45" spans="1:4" ht="15.75" thickBot="1" x14ac:dyDescent="0.3">
      <c r="A45" s="13" t="s">
        <v>62</v>
      </c>
      <c r="B45" s="14" cm="1">
        <f t="array" ref="B45">_xlfn.IFS(C45=0,0,C45&gt;0,50*C45)</f>
        <v>0</v>
      </c>
      <c r="C45" s="16"/>
    </row>
    <row r="46" spans="1:4" ht="15.75" thickBot="1" x14ac:dyDescent="0.3">
      <c r="A46" s="13" t="s">
        <v>63</v>
      </c>
      <c r="B46" s="14" cm="1">
        <f t="array" ref="B46">_xlfn.IFS(C46=0,0,C46&gt;0,C46*125)</f>
        <v>0</v>
      </c>
      <c r="C46" s="16"/>
      <c r="D46" t="s">
        <v>64</v>
      </c>
    </row>
    <row r="47" spans="1:4" ht="15.75" thickBot="1" x14ac:dyDescent="0.3">
      <c r="A47" s="13" t="s">
        <v>65</v>
      </c>
      <c r="B47" s="14" cm="1">
        <f t="array" ref="B47">_xlfn.IFS(C47=0,0,C47&gt;0,C47*125)</f>
        <v>0</v>
      </c>
      <c r="C47" s="16"/>
      <c r="D47" t="s">
        <v>64</v>
      </c>
    </row>
    <row r="48" spans="1:4" ht="15.75" thickBot="1" x14ac:dyDescent="0.3">
      <c r="A48" s="13" t="s">
        <v>66</v>
      </c>
      <c r="B48" s="14" cm="1">
        <f t="array" ref="B48">_xlfn.IFS(C48=0,0,C48&gt;0,C48*125)</f>
        <v>0</v>
      </c>
      <c r="C48" s="16"/>
      <c r="D48" t="s">
        <v>64</v>
      </c>
    </row>
    <row r="49" spans="1:4" ht="15.75" thickBot="1" x14ac:dyDescent="0.3">
      <c r="A49" s="13" t="s">
        <v>67</v>
      </c>
      <c r="B49" s="14" cm="1">
        <f t="array" ref="B49">_xlfn.IFS(C49=0,0,C49&gt;0,C49*125)</f>
        <v>0</v>
      </c>
      <c r="C49" s="16"/>
      <c r="D49" t="s">
        <v>64</v>
      </c>
    </row>
    <row r="50" spans="1:4" x14ac:dyDescent="0.25">
      <c r="A50" s="11" t="s">
        <v>68</v>
      </c>
      <c r="B50" s="10">
        <f>SUM(B19:B23,B25:B27,B45:B49)</f>
        <v>0</v>
      </c>
    </row>
    <row r="51" spans="1:4" ht="15.75" thickBot="1" x14ac:dyDescent="0.3">
      <c r="A51" s="17" t="s">
        <v>69</v>
      </c>
    </row>
    <row r="52" spans="1:4" ht="15.75" thickBot="1" x14ac:dyDescent="0.3">
      <c r="A52" s="9" t="s">
        <v>33</v>
      </c>
      <c r="B52" s="2">
        <f>C52*0.8</f>
        <v>0</v>
      </c>
      <c r="C52" s="6"/>
      <c r="D52" t="s">
        <v>10</v>
      </c>
    </row>
    <row r="53" spans="1:4" ht="15.75" thickBot="1" x14ac:dyDescent="0.3">
      <c r="A53" s="9" t="s">
        <v>35</v>
      </c>
      <c r="B53" s="2">
        <f>C53*1500</f>
        <v>0</v>
      </c>
      <c r="C53" s="6"/>
      <c r="D53" t="s">
        <v>12</v>
      </c>
    </row>
    <row r="54" spans="1:4" ht="15.75" thickBot="1" x14ac:dyDescent="0.3">
      <c r="A54" s="9" t="s">
        <v>36</v>
      </c>
      <c r="B54" s="2">
        <f>C54*0.4</f>
        <v>0</v>
      </c>
      <c r="C54" s="6"/>
      <c r="D54" t="s">
        <v>10</v>
      </c>
    </row>
    <row r="55" spans="1:4" ht="15.75" thickBot="1" x14ac:dyDescent="0.3">
      <c r="A55" s="9" t="s">
        <v>37</v>
      </c>
      <c r="B55" s="19">
        <f>100*C55</f>
        <v>0</v>
      </c>
      <c r="C55" s="6"/>
      <c r="D55" t="s">
        <v>70</v>
      </c>
    </row>
    <row r="56" spans="1:4" ht="15.75" thickBot="1" x14ac:dyDescent="0.3">
      <c r="A56" s="9" t="s">
        <v>71</v>
      </c>
      <c r="B56" s="14">
        <f>C56*25</f>
        <v>0</v>
      </c>
      <c r="C56" s="6"/>
    </row>
    <row r="57" spans="1:4" ht="15.75" thickBot="1" x14ac:dyDescent="0.3">
      <c r="A57" t="s">
        <v>72</v>
      </c>
      <c r="B57" s="14">
        <f>C57*25</f>
        <v>0</v>
      </c>
      <c r="C57" s="6"/>
      <c r="D57" t="s">
        <v>73</v>
      </c>
    </row>
    <row r="58" spans="1:4" ht="15.75" thickBot="1" x14ac:dyDescent="0.3">
      <c r="A58" t="s">
        <v>74</v>
      </c>
      <c r="B58" s="14">
        <f>C58*75</f>
        <v>0</v>
      </c>
      <c r="C58" s="6"/>
      <c r="D58" t="s">
        <v>75</v>
      </c>
    </row>
    <row r="59" spans="1:4" ht="15.75" thickBot="1" x14ac:dyDescent="0.3">
      <c r="A59" t="s">
        <v>76</v>
      </c>
      <c r="B59" s="14">
        <f>C59*214</f>
        <v>0</v>
      </c>
      <c r="C59" s="6"/>
    </row>
    <row r="60" spans="1:4" ht="15.75" thickBot="1" x14ac:dyDescent="0.3">
      <c r="A60" s="17" t="s">
        <v>77</v>
      </c>
    </row>
    <row r="61" spans="1:4" ht="15.75" thickBot="1" x14ac:dyDescent="0.3">
      <c r="A61" s="9" t="s">
        <v>78</v>
      </c>
      <c r="B61" s="19">
        <f>C61*50</f>
        <v>0</v>
      </c>
      <c r="C61" s="6"/>
      <c r="D61" t="s">
        <v>41</v>
      </c>
    </row>
    <row r="62" spans="1:4" ht="15.75" thickBot="1" x14ac:dyDescent="0.3">
      <c r="A62" s="9" t="s">
        <v>79</v>
      </c>
      <c r="B62" s="19">
        <f>C62*30</f>
        <v>0</v>
      </c>
      <c r="C62" s="6"/>
    </row>
    <row r="63" spans="1:4" ht="15.75" thickBot="1" x14ac:dyDescent="0.3">
      <c r="A63" s="9" t="s">
        <v>43</v>
      </c>
      <c r="B63" s="14">
        <f>SUM(B64:B79)</f>
        <v>0</v>
      </c>
      <c r="C63" s="4">
        <f>SUM(C64:C79)</f>
        <v>0</v>
      </c>
    </row>
    <row r="64" spans="1:4" ht="15.75" thickBot="1" x14ac:dyDescent="0.3">
      <c r="A64" s="12" t="s">
        <v>44</v>
      </c>
      <c r="B64" s="20">
        <f>C64*10</f>
        <v>0</v>
      </c>
      <c r="C64" s="16"/>
      <c r="D64" s="21" t="s">
        <v>45</v>
      </c>
    </row>
    <row r="65" spans="1:4" ht="15.75" thickBot="1" x14ac:dyDescent="0.3">
      <c r="A65" s="12" t="s">
        <v>46</v>
      </c>
      <c r="B65" s="20">
        <f t="shared" ref="B65:B79" si="1">C65*10</f>
        <v>0</v>
      </c>
      <c r="C65" s="16"/>
      <c r="D65" s="21" t="s">
        <v>45</v>
      </c>
    </row>
    <row r="66" spans="1:4" ht="15.75" thickBot="1" x14ac:dyDescent="0.3">
      <c r="A66" s="12" t="s">
        <v>47</v>
      </c>
      <c r="B66" s="20">
        <f t="shared" si="1"/>
        <v>0</v>
      </c>
      <c r="C66" s="16"/>
      <c r="D66" s="21" t="s">
        <v>45</v>
      </c>
    </row>
    <row r="67" spans="1:4" ht="15.75" thickBot="1" x14ac:dyDescent="0.3">
      <c r="A67" s="12" t="s">
        <v>48</v>
      </c>
      <c r="B67" s="20">
        <f t="shared" si="1"/>
        <v>0</v>
      </c>
      <c r="C67" s="16"/>
      <c r="D67" s="21" t="s">
        <v>45</v>
      </c>
    </row>
    <row r="68" spans="1:4" ht="15.75" thickBot="1" x14ac:dyDescent="0.3">
      <c r="A68" s="12" t="s">
        <v>49</v>
      </c>
      <c r="B68" s="20">
        <f t="shared" si="1"/>
        <v>0</v>
      </c>
      <c r="C68" s="16"/>
      <c r="D68" s="21" t="s">
        <v>45</v>
      </c>
    </row>
    <row r="69" spans="1:4" ht="15.75" thickBot="1" x14ac:dyDescent="0.3">
      <c r="A69" s="12" t="s">
        <v>50</v>
      </c>
      <c r="B69" s="20">
        <f t="shared" si="1"/>
        <v>0</v>
      </c>
      <c r="C69" s="16"/>
      <c r="D69" s="21" t="s">
        <v>45</v>
      </c>
    </row>
    <row r="70" spans="1:4" ht="15.75" thickBot="1" x14ac:dyDescent="0.3">
      <c r="A70" s="12" t="s">
        <v>51</v>
      </c>
      <c r="B70" s="20">
        <f t="shared" si="1"/>
        <v>0</v>
      </c>
      <c r="C70" s="16"/>
      <c r="D70" s="21" t="s">
        <v>45</v>
      </c>
    </row>
    <row r="71" spans="1:4" ht="15.75" thickBot="1" x14ac:dyDescent="0.3">
      <c r="A71" s="12" t="s">
        <v>52</v>
      </c>
      <c r="B71" s="20">
        <f t="shared" si="1"/>
        <v>0</v>
      </c>
      <c r="C71" s="16"/>
      <c r="D71" s="21" t="s">
        <v>45</v>
      </c>
    </row>
    <row r="72" spans="1:4" ht="15.75" thickBot="1" x14ac:dyDescent="0.3">
      <c r="A72" s="12" t="s">
        <v>53</v>
      </c>
      <c r="B72" s="20">
        <f t="shared" si="1"/>
        <v>0</v>
      </c>
      <c r="C72" s="16"/>
      <c r="D72" s="21" t="s">
        <v>45</v>
      </c>
    </row>
    <row r="73" spans="1:4" ht="15.75" thickBot="1" x14ac:dyDescent="0.3">
      <c r="A73" s="12" t="s">
        <v>54</v>
      </c>
      <c r="B73" s="20">
        <f t="shared" si="1"/>
        <v>0</v>
      </c>
      <c r="C73" s="16"/>
      <c r="D73" s="21" t="s">
        <v>45</v>
      </c>
    </row>
    <row r="74" spans="1:4" ht="15.75" thickBot="1" x14ac:dyDescent="0.3">
      <c r="A74" s="12" t="s">
        <v>55</v>
      </c>
      <c r="B74" s="20">
        <f t="shared" si="1"/>
        <v>0</v>
      </c>
      <c r="C74" s="16"/>
      <c r="D74" s="21" t="s">
        <v>45</v>
      </c>
    </row>
    <row r="75" spans="1:4" ht="15.75" thickBot="1" x14ac:dyDescent="0.3">
      <c r="A75" s="12" t="s">
        <v>56</v>
      </c>
      <c r="B75" s="20">
        <f t="shared" si="1"/>
        <v>0</v>
      </c>
      <c r="C75" s="16"/>
      <c r="D75" s="21" t="s">
        <v>45</v>
      </c>
    </row>
    <row r="76" spans="1:4" ht="15.75" thickBot="1" x14ac:dyDescent="0.3">
      <c r="A76" s="12" t="s">
        <v>57</v>
      </c>
      <c r="B76" s="20">
        <f t="shared" si="1"/>
        <v>0</v>
      </c>
      <c r="C76" s="16"/>
      <c r="D76" s="21" t="s">
        <v>45</v>
      </c>
    </row>
    <row r="77" spans="1:4" ht="15.75" thickBot="1" x14ac:dyDescent="0.3">
      <c r="A77" s="12" t="s">
        <v>58</v>
      </c>
      <c r="B77" s="20">
        <f t="shared" si="1"/>
        <v>0</v>
      </c>
      <c r="C77" s="16"/>
      <c r="D77" s="21" t="s">
        <v>45</v>
      </c>
    </row>
    <row r="78" spans="1:4" ht="15.75" thickBot="1" x14ac:dyDescent="0.3">
      <c r="A78" s="12" t="s">
        <v>59</v>
      </c>
      <c r="B78" s="20">
        <f t="shared" si="1"/>
        <v>0</v>
      </c>
      <c r="C78" s="16"/>
      <c r="D78" s="21" t="s">
        <v>45</v>
      </c>
    </row>
    <row r="79" spans="1:4" ht="15.75" thickBot="1" x14ac:dyDescent="0.3">
      <c r="A79" s="12" t="s">
        <v>60</v>
      </c>
      <c r="B79" s="20">
        <f t="shared" si="1"/>
        <v>0</v>
      </c>
      <c r="C79" s="16"/>
      <c r="D79" s="21" t="s">
        <v>45</v>
      </c>
    </row>
    <row r="80" spans="1:4" ht="15.75" thickBot="1" x14ac:dyDescent="0.3">
      <c r="A80" s="18" t="s">
        <v>80</v>
      </c>
    </row>
    <row r="81" spans="1:5" ht="15.75" thickBot="1" x14ac:dyDescent="0.3">
      <c r="A81" s="13" t="s">
        <v>62</v>
      </c>
      <c r="B81" s="14" cm="1">
        <f t="array" ref="B81">_xlfn.IFS(C81=0,0,C81&gt;0,50*C81)</f>
        <v>0</v>
      </c>
      <c r="C81" s="16"/>
      <c r="E81" s="14"/>
    </row>
    <row r="82" spans="1:5" ht="15.75" thickBot="1" x14ac:dyDescent="0.3">
      <c r="A82" s="13" t="s">
        <v>63</v>
      </c>
      <c r="B82" s="14" cm="1">
        <f t="array" ref="B82">_xlfn.IFS(C82=0,0,C82&gt;0,C82*75)</f>
        <v>0</v>
      </c>
      <c r="C82" s="16"/>
      <c r="D82" t="s">
        <v>64</v>
      </c>
      <c r="E82" s="14"/>
    </row>
    <row r="83" spans="1:5" ht="15.75" thickBot="1" x14ac:dyDescent="0.3">
      <c r="A83" s="13" t="s">
        <v>65</v>
      </c>
      <c r="B83" s="14" cm="1">
        <f t="array" ref="B83">_xlfn.IFS(C83=0,0,C83&gt;0,C83*75)</f>
        <v>0</v>
      </c>
      <c r="C83" s="16"/>
      <c r="D83" t="s">
        <v>64</v>
      </c>
      <c r="E83" s="14"/>
    </row>
    <row r="84" spans="1:5" ht="15.75" thickBot="1" x14ac:dyDescent="0.3">
      <c r="A84" s="13" t="s">
        <v>66</v>
      </c>
      <c r="B84" s="14" cm="1">
        <f t="array" ref="B84">_xlfn.IFS(C84=0,0,C84&gt;0,C84*75)</f>
        <v>0</v>
      </c>
      <c r="C84" s="16"/>
      <c r="D84" t="s">
        <v>64</v>
      </c>
      <c r="E84" s="14"/>
    </row>
    <row r="85" spans="1:5" ht="15.75" thickBot="1" x14ac:dyDescent="0.3">
      <c r="A85" s="13" t="s">
        <v>67</v>
      </c>
      <c r="B85" s="14" cm="1">
        <f t="array" ref="B85">_xlfn.IFS(C85=0,0,C85&gt;0,C85*75)</f>
        <v>0</v>
      </c>
      <c r="C85" s="16"/>
      <c r="D85" t="s">
        <v>64</v>
      </c>
      <c r="E85" s="14"/>
    </row>
    <row r="86" spans="1:5" x14ac:dyDescent="0.25">
      <c r="A86" s="11" t="s">
        <v>81</v>
      </c>
      <c r="B86" s="10">
        <f>SUM(B81:B85,B63,B62,B61,B52:B59)</f>
        <v>0</v>
      </c>
    </row>
    <row r="87" spans="1:5" ht="16.5" thickBot="1" x14ac:dyDescent="0.3">
      <c r="A87" s="28" t="s">
        <v>82</v>
      </c>
    </row>
    <row r="88" spans="1:5" ht="15.75" thickBot="1" x14ac:dyDescent="0.3">
      <c r="A88" s="25" t="s">
        <v>83</v>
      </c>
      <c r="B88" s="2" cm="1">
        <f t="array" ref="B88">_xlfn.IFS(C88=0,0,C88&lt;=1000,50,C88&gt;1000,75)</f>
        <v>0</v>
      </c>
      <c r="C88" s="16"/>
      <c r="D88" t="s">
        <v>345</v>
      </c>
    </row>
    <row r="89" spans="1:5" ht="15.75" thickBot="1" x14ac:dyDescent="0.3">
      <c r="A89" s="25" t="s">
        <v>84</v>
      </c>
      <c r="B89" s="19">
        <f>C89*50</f>
        <v>0</v>
      </c>
      <c r="C89" s="16"/>
      <c r="D89" t="s">
        <v>85</v>
      </c>
    </row>
    <row r="90" spans="1:5" ht="15.75" thickBot="1" x14ac:dyDescent="0.3">
      <c r="A90" s="25" t="s">
        <v>346</v>
      </c>
      <c r="B90" s="19">
        <f>C90*100</f>
        <v>0</v>
      </c>
      <c r="C90" s="16"/>
      <c r="D90" t="s">
        <v>89</v>
      </c>
    </row>
    <row r="91" spans="1:5" ht="15.75" thickBot="1" x14ac:dyDescent="0.3">
      <c r="A91" s="25" t="s">
        <v>86</v>
      </c>
      <c r="B91" s="19">
        <f>C91*100</f>
        <v>0</v>
      </c>
      <c r="C91" s="16"/>
      <c r="D91" t="s">
        <v>41</v>
      </c>
    </row>
    <row r="92" spans="1:5" ht="15.75" thickBot="1" x14ac:dyDescent="0.3">
      <c r="A92" s="25" t="s">
        <v>347</v>
      </c>
      <c r="B92" s="19">
        <f>C92*50</f>
        <v>0</v>
      </c>
      <c r="C92" s="16"/>
    </row>
    <row r="93" spans="1:5" ht="15.75" thickBot="1" x14ac:dyDescent="0.3">
      <c r="A93" s="25" t="s">
        <v>87</v>
      </c>
      <c r="B93" s="19">
        <f>C93*50</f>
        <v>0</v>
      </c>
      <c r="C93" s="16"/>
      <c r="D93" t="s">
        <v>41</v>
      </c>
    </row>
    <row r="94" spans="1:5" ht="15.75" thickBot="1" x14ac:dyDescent="0.3">
      <c r="A94" s="25" t="s">
        <v>74</v>
      </c>
      <c r="B94" s="19">
        <f>C94*75</f>
        <v>0</v>
      </c>
      <c r="C94" s="16"/>
      <c r="D94" t="s">
        <v>75</v>
      </c>
    </row>
    <row r="95" spans="1:5" ht="15.75" thickBot="1" x14ac:dyDescent="0.3">
      <c r="A95" s="25" t="s">
        <v>88</v>
      </c>
      <c r="B95" s="19">
        <f>C95*100</f>
        <v>0</v>
      </c>
      <c r="C95" s="16"/>
      <c r="D95" t="s">
        <v>89</v>
      </c>
    </row>
    <row r="96" spans="1:5" ht="15.75" thickBot="1" x14ac:dyDescent="0.3">
      <c r="A96" s="25" t="s">
        <v>90</v>
      </c>
      <c r="B96" s="19" cm="1">
        <f t="array" ref="B96">_xlfn.IFS(C96=0,0,C96&gt;=1,50+(C96*0.5))</f>
        <v>0</v>
      </c>
      <c r="C96" s="16"/>
      <c r="D96" t="s">
        <v>91</v>
      </c>
    </row>
    <row r="97" spans="1:5" ht="15.75" thickBot="1" x14ac:dyDescent="0.3">
      <c r="A97" s="25" t="s">
        <v>92</v>
      </c>
      <c r="B97" s="19" cm="1">
        <f t="array" ref="B97">_xlfn.IFS(C97=0,0,C97&gt;0,C97*5000)</f>
        <v>0</v>
      </c>
      <c r="C97" s="16"/>
      <c r="D97" t="s">
        <v>93</v>
      </c>
    </row>
    <row r="98" spans="1:5" ht="15.75" thickBot="1" x14ac:dyDescent="0.3">
      <c r="A98" s="25" t="s">
        <v>94</v>
      </c>
      <c r="B98" s="19">
        <f>C98*200</f>
        <v>0</v>
      </c>
      <c r="C98" s="16"/>
      <c r="D98" t="s">
        <v>41</v>
      </c>
    </row>
    <row r="99" spans="1:5" ht="15.75" thickBot="1" x14ac:dyDescent="0.3">
      <c r="A99" s="25" t="s">
        <v>95</v>
      </c>
      <c r="B99" s="19">
        <f>C99*50</f>
        <v>0</v>
      </c>
      <c r="C99" s="16"/>
      <c r="D99" t="s">
        <v>96</v>
      </c>
    </row>
    <row r="100" spans="1:5" ht="15.75" thickBot="1" x14ac:dyDescent="0.3">
      <c r="A100" s="25" t="s">
        <v>97</v>
      </c>
      <c r="B100" s="19">
        <f>-C100*1000</f>
        <v>0</v>
      </c>
      <c r="C100" s="16"/>
      <c r="D100" t="s">
        <v>98</v>
      </c>
    </row>
    <row r="101" spans="1:5" ht="15.75" thickBot="1" x14ac:dyDescent="0.3">
      <c r="A101" s="25" t="s">
        <v>99</v>
      </c>
      <c r="B101" s="19">
        <f>C101*25</f>
        <v>0</v>
      </c>
      <c r="C101" s="16"/>
      <c r="D101" t="s">
        <v>100</v>
      </c>
    </row>
    <row r="102" spans="1:5" x14ac:dyDescent="0.25">
      <c r="A102" s="25" t="s">
        <v>348</v>
      </c>
      <c r="B102" s="26"/>
      <c r="C102" s="26"/>
      <c r="D102" t="s">
        <v>349</v>
      </c>
    </row>
    <row r="103" spans="1:5" x14ac:dyDescent="0.25">
      <c r="A103" s="11" t="s">
        <v>101</v>
      </c>
      <c r="B103" s="10">
        <f>SUM(B88:B101)</f>
        <v>0</v>
      </c>
    </row>
    <row r="104" spans="1:5" ht="15.75" x14ac:dyDescent="0.25">
      <c r="A104" s="22" t="s">
        <v>102</v>
      </c>
      <c r="B104" s="23">
        <f>SUM(B50+B86+B103)</f>
        <v>0</v>
      </c>
    </row>
    <row r="105" spans="1:5" ht="21.75" thickBot="1" x14ac:dyDescent="0.4">
      <c r="A105" s="133" t="s">
        <v>103</v>
      </c>
    </row>
    <row r="106" spans="1:5" ht="15.75" thickBot="1" x14ac:dyDescent="0.3">
      <c r="A106" t="s">
        <v>104</v>
      </c>
      <c r="B106" s="116" cm="1">
        <f t="array" ref="B106">_xlfn.IFS(C106=0,0,((C106*125)+500)&gt;6010,6010,((C106*125)+500)&lt;6010,((C106*125)+500))</f>
        <v>0</v>
      </c>
      <c r="C106" s="6"/>
      <c r="D106" t="s">
        <v>350</v>
      </c>
    </row>
    <row r="107" spans="1:5" ht="15.75" thickBot="1" x14ac:dyDescent="0.3">
      <c r="A107" t="s">
        <v>351</v>
      </c>
      <c r="B107" s="116" cm="1">
        <f t="array" ref="B107">_xlfn.IFS(C107=0,0,C107&gt;0,500+(C107*75))</f>
        <v>0</v>
      </c>
      <c r="C107" s="6"/>
      <c r="D107" t="s">
        <v>126</v>
      </c>
    </row>
    <row r="108" spans="1:5" ht="15.75" thickBot="1" x14ac:dyDescent="0.3">
      <c r="A108" t="s">
        <v>106</v>
      </c>
      <c r="B108" s="116" cm="1">
        <f t="array" ref="B108">_xlfn.IFS(C108=0,0,((C108*175)+500)&gt;20000,20000,((C108*175)+500)&lt;20000,500+(ROUNDUP(C108,0)*175))</f>
        <v>0</v>
      </c>
      <c r="C108" s="6"/>
      <c r="D108" t="s">
        <v>352</v>
      </c>
    </row>
    <row r="109" spans="1:5" ht="15.75" thickBot="1" x14ac:dyDescent="0.3">
      <c r="A109" t="s">
        <v>107</v>
      </c>
      <c r="B109" s="116" cm="1">
        <f t="array" ref="B109">_xlfn.IFS(C109=0,0,C109&gt;0,LOOKUP(C109,{0,1,5,10,20,30,40,50,75,100,150,250,500},{250,615,740,985,1230,1475,1840,2455,4910,7365,9820,12270,18405}))</f>
        <v>0</v>
      </c>
      <c r="C109" s="6"/>
      <c r="D109" t="s">
        <v>352</v>
      </c>
    </row>
    <row r="110" spans="1:5" ht="15.75" thickBot="1" x14ac:dyDescent="0.3">
      <c r="A110" t="s">
        <v>108</v>
      </c>
      <c r="B110" s="116" cm="1">
        <f t="array" ref="B110">_xlfn.IFS(C110=0,0,(C110*0.17)&gt;35000,35000+(ROUNDUP(C110/43560,0)*175),(C110*0.17)&lt;35000,(C110*0.17)+(ROUNDUP(C110/43560,0)*175))</f>
        <v>0</v>
      </c>
      <c r="C110" s="6"/>
      <c r="D110" t="s">
        <v>105</v>
      </c>
      <c r="E110" t="s">
        <v>353</v>
      </c>
    </row>
    <row r="111" spans="1:5" ht="15.75" thickBot="1" x14ac:dyDescent="0.3">
      <c r="A111" t="s">
        <v>110</v>
      </c>
      <c r="B111" s="116">
        <f>C111*500</f>
        <v>0</v>
      </c>
      <c r="C111" s="6"/>
      <c r="D111" t="s">
        <v>12</v>
      </c>
      <c r="E111" t="s">
        <v>109</v>
      </c>
    </row>
    <row r="112" spans="1:5" ht="15.75" thickBot="1" x14ac:dyDescent="0.3">
      <c r="A112" t="s">
        <v>111</v>
      </c>
      <c r="B112" s="2" cm="1">
        <f t="array" ref="B112">_xlfn.IFS(C112&lt;=400,0,C112&lt;=1500,1.5,C112&gt;=1501,2.5)</f>
        <v>0</v>
      </c>
      <c r="C112" s="6"/>
      <c r="D112" t="s">
        <v>105</v>
      </c>
      <c r="E112" t="s">
        <v>112</v>
      </c>
    </row>
    <row r="113" spans="1:5" ht="15.75" thickBot="1" x14ac:dyDescent="0.3">
      <c r="A113" t="s">
        <v>113</v>
      </c>
      <c r="B113" s="2" cm="1">
        <f t="array" ref="B113">_xlfn.IFS(C113&lt;=400,0,C113&lt;=1500,1.5,C113&gt;=1501,2.5)</f>
        <v>0</v>
      </c>
      <c r="C113" s="6"/>
      <c r="D113" t="s">
        <v>105</v>
      </c>
      <c r="E113" t="s">
        <v>114</v>
      </c>
    </row>
    <row r="114" spans="1:5" ht="15.75" thickBot="1" x14ac:dyDescent="0.3">
      <c r="A114" t="s">
        <v>115</v>
      </c>
      <c r="B114" s="2">
        <f>C114*3.5</f>
        <v>0</v>
      </c>
      <c r="C114" s="6"/>
      <c r="D114" t="s">
        <v>12</v>
      </c>
      <c r="E114" t="s">
        <v>112</v>
      </c>
    </row>
    <row r="115" spans="1:5" ht="15.75" thickBot="1" x14ac:dyDescent="0.3">
      <c r="A115" t="s">
        <v>116</v>
      </c>
      <c r="B115" s="2" cm="1">
        <f t="array" ref="B115">_xlfn.IFS(C115&lt;400,0,C115&lt;=6000,15,C115&lt;=15000,25,C115&lt;=35000,35,C115&lt;=60000,50,C115&lt;=100000,75,C115&lt;=300000,200,C115&lt;=1000000,400,C115&gt;1000000,600)</f>
        <v>0</v>
      </c>
      <c r="C115" s="6"/>
      <c r="D115" t="s">
        <v>105</v>
      </c>
      <c r="E115" t="s">
        <v>112</v>
      </c>
    </row>
    <row r="116" spans="1:5" ht="15.75" thickBot="1" x14ac:dyDescent="0.3">
      <c r="A116" t="s">
        <v>354</v>
      </c>
      <c r="B116" s="2" cm="1">
        <f t="array" ref="B116">_xlfn.IFS(C116=0,0,C116=1,100,C116=2,200,C116&gt;=3,(300+(400*(C116-2))))</f>
        <v>0</v>
      </c>
      <c r="C116" s="6"/>
      <c r="D116" t="s">
        <v>356</v>
      </c>
      <c r="E116" t="s">
        <v>109</v>
      </c>
    </row>
    <row r="117" spans="1:5" ht="15.75" thickBot="1" x14ac:dyDescent="0.3">
      <c r="A117" t="s">
        <v>355</v>
      </c>
      <c r="B117" s="2" cm="1">
        <f t="array" ref="B117">_xlfn.IFS(C117=0,0,C117=1,50,C117=2,150,C117=3,350,C117&gt;=4,(350+(400*(C117-3))))</f>
        <v>0</v>
      </c>
      <c r="C117" s="6"/>
      <c r="D117" t="s">
        <v>356</v>
      </c>
      <c r="E117" t="s">
        <v>109</v>
      </c>
    </row>
    <row r="118" spans="1:5" ht="15.75" thickBot="1" x14ac:dyDescent="0.3">
      <c r="A118" t="s">
        <v>358</v>
      </c>
      <c r="B118" s="2" cm="1">
        <f t="array" ref="B118">_xlfn.IFS(C118=0,0,C118=1,50,C118=2,150,C118=3,350,C118&gt;=4,(350+(400*(C118-3))))</f>
        <v>0</v>
      </c>
      <c r="C118" s="6"/>
      <c r="D118" t="s">
        <v>356</v>
      </c>
      <c r="E118" t="s">
        <v>357</v>
      </c>
    </row>
    <row r="119" spans="1:5" ht="15.75" thickBot="1" x14ac:dyDescent="0.3">
      <c r="A119" t="s">
        <v>359</v>
      </c>
      <c r="B119" s="2" cm="1">
        <f t="array" ref="B119">_xlfn.IFS(C119=0,0,C119&gt;=1,(500*C119),C119&gt;=5,(1000*C119),C119&gt;=10,(1500*C119),C119&gt;=50,(2000*C119),C119&gt;50,(2500*C119))</f>
        <v>0</v>
      </c>
      <c r="C119" s="6"/>
      <c r="D119" t="s">
        <v>350</v>
      </c>
      <c r="E119" t="s">
        <v>360</v>
      </c>
    </row>
    <row r="120" spans="1:5" ht="15.75" x14ac:dyDescent="0.25">
      <c r="A120" s="22" t="s">
        <v>117</v>
      </c>
      <c r="B120" s="23">
        <f>SUM(B106:B115)</f>
        <v>0</v>
      </c>
    </row>
    <row r="121" spans="1:5" ht="21.75" thickBot="1" x14ac:dyDescent="0.4">
      <c r="A121" s="133" t="s">
        <v>118</v>
      </c>
      <c r="C121"/>
    </row>
    <row r="122" spans="1:5" ht="15.75" x14ac:dyDescent="0.25">
      <c r="A122" s="129" t="s">
        <v>119</v>
      </c>
      <c r="B122" s="130" cm="1">
        <f t="array" ref="B122">_xlfn.IFS(Surety!F27=0,0,Surety!F27&gt;0,Surety!F27)</f>
        <v>0</v>
      </c>
      <c r="C122" s="127"/>
      <c r="D122" s="149" t="s">
        <v>120</v>
      </c>
    </row>
    <row r="123" spans="1:5" ht="16.5" thickBot="1" x14ac:dyDescent="0.3">
      <c r="A123" s="131" t="s">
        <v>121</v>
      </c>
      <c r="B123" s="132" cm="1">
        <f t="array" ref="B123">_xlfn.IFS(Surety!F40=0,0,Surety!F40&gt;0,Surety!F40)</f>
        <v>0</v>
      </c>
      <c r="C123" s="128"/>
      <c r="D123" s="150"/>
    </row>
    <row r="124" spans="1:5" ht="16.5" thickBot="1" x14ac:dyDescent="0.3">
      <c r="A124" s="28" t="s">
        <v>122</v>
      </c>
      <c r="C124" s="5"/>
    </row>
    <row r="125" spans="1:5" ht="15.75" thickBot="1" x14ac:dyDescent="0.3">
      <c r="A125" t="s">
        <v>123</v>
      </c>
      <c r="B125" s="24">
        <f>SUM(B126:B141)</f>
        <v>0</v>
      </c>
      <c r="C125" s="32" t="s">
        <v>361</v>
      </c>
      <c r="D125" s="31" t="s">
        <v>124</v>
      </c>
    </row>
    <row r="126" spans="1:5" ht="15.75" customHeight="1" thickBot="1" x14ac:dyDescent="0.3">
      <c r="A126" s="3" t="s">
        <v>125</v>
      </c>
      <c r="B126" s="15" cm="1">
        <f t="array" ref="B126">_xlfn.IFS(C126=0,0,$C$125=0,"Answer C127",$C$125="yes",C126*350,$C$125="no",C126*2500)</f>
        <v>0</v>
      </c>
      <c r="C126" s="16"/>
      <c r="D126" s="21" t="s">
        <v>126</v>
      </c>
      <c r="E126" s="29"/>
    </row>
    <row r="127" spans="1:5" ht="15.75" thickBot="1" x14ac:dyDescent="0.3">
      <c r="A127" s="3" t="s">
        <v>127</v>
      </c>
      <c r="B127" s="15" cm="1">
        <f t="array" ref="B127">_xlfn.IFS(C127=0,0,$C$125=0,"Answer C127",$C$125="yes",(C127*0.8)*175,$C$125="no",(C127*0.8)*2500)</f>
        <v>0</v>
      </c>
      <c r="C127" s="16"/>
      <c r="D127" s="21" t="s">
        <v>128</v>
      </c>
      <c r="E127" s="29"/>
    </row>
    <row r="128" spans="1:5" ht="15.75" thickBot="1" x14ac:dyDescent="0.3">
      <c r="A128" s="3" t="s">
        <v>129</v>
      </c>
      <c r="B128" s="15" cm="1">
        <f t="array" ref="B128">_xlfn.IFS(C128=0,0,$C$125=0,"Answer C127",$C$125="yes",(C128*0.1)*175,$C$125="no",(C128*0.1)*2500)</f>
        <v>0</v>
      </c>
      <c r="C128" s="16"/>
      <c r="D128" s="21" t="s">
        <v>130</v>
      </c>
      <c r="E128" s="29"/>
    </row>
    <row r="129" spans="1:5" ht="15.75" thickBot="1" x14ac:dyDescent="0.3">
      <c r="A129" s="3" t="s">
        <v>131</v>
      </c>
      <c r="B129" s="15" cm="1">
        <f t="array" ref="B129">_xlfn.IFS(C129=0,0,$C$125=0,"Answer C127",$C$125="yes",(C129*0.3)*175,$C$125="no",(C129*0.3)*2500)</f>
        <v>0</v>
      </c>
      <c r="C129" s="16"/>
      <c r="D129" s="21" t="s">
        <v>128</v>
      </c>
      <c r="E129" s="29"/>
    </row>
    <row r="130" spans="1:5" ht="15.75" thickBot="1" x14ac:dyDescent="0.3">
      <c r="A130" s="3" t="s">
        <v>132</v>
      </c>
      <c r="B130" s="15" cm="1">
        <f t="array" ref="B130">_xlfn.IFS(C130=0,0,$C$125=0,"Answer C127",$C$125="yes",((C130/100)*0.04)*175,$C$125="no",((C130/100)*0.04)*2500)</f>
        <v>0</v>
      </c>
      <c r="C130" s="16"/>
      <c r="D130" s="21" t="s">
        <v>10</v>
      </c>
      <c r="E130" s="29"/>
    </row>
    <row r="131" spans="1:5" ht="15.75" thickBot="1" x14ac:dyDescent="0.3">
      <c r="A131" s="3" t="s">
        <v>133</v>
      </c>
      <c r="B131" s="15" cm="1">
        <f t="array" ref="B131">_xlfn.IFS(C131=0,0,$C$125=0,"Answer C127",$C$125="yes",((C131/100)*0.02)*175,$C$125="no",((C131/100)*0.02)*2500)</f>
        <v>0</v>
      </c>
      <c r="C131" s="16"/>
      <c r="D131" s="21" t="s">
        <v>10</v>
      </c>
      <c r="E131" s="29"/>
    </row>
    <row r="132" spans="1:5" ht="15.75" thickBot="1" x14ac:dyDescent="0.3">
      <c r="A132" s="3" t="s">
        <v>134</v>
      </c>
      <c r="B132" s="15" cm="1">
        <f t="array" ref="B132">_xlfn.IFS(C132=0,0,$C$125=0,"Answer C127",$C$125="yes",(C132*0.07)*350,$C$125="no",(C132*0.07)*2500)</f>
        <v>0</v>
      </c>
      <c r="C132" s="16"/>
      <c r="D132" s="21" t="s">
        <v>135</v>
      </c>
      <c r="E132" s="29"/>
    </row>
    <row r="133" spans="1:5" ht="15.75" thickBot="1" x14ac:dyDescent="0.3">
      <c r="A133" s="3" t="s">
        <v>136</v>
      </c>
      <c r="B133" s="15" cm="1">
        <f t="array" ref="B133">_xlfn.IFS(C133=0,0,$C$125=0,"Answer C127",$C$125="yes",(C133*0.04)*350,$C$125="no",(C133*0.04)*2500)</f>
        <v>0</v>
      </c>
      <c r="C133" s="16"/>
      <c r="D133" s="21" t="s">
        <v>137</v>
      </c>
      <c r="E133" s="29"/>
    </row>
    <row r="134" spans="1:5" ht="15.75" thickBot="1" x14ac:dyDescent="0.3">
      <c r="A134" s="3" t="s">
        <v>138</v>
      </c>
      <c r="B134" s="15" cm="1">
        <f t="array" ref="B134">_xlfn.IFS(C134=0,0,$C$125=0,"Answer C127",$C$125="yes",(C134*0.25)*350,$C$125="no",(C134*0.25)*2500)</f>
        <v>0</v>
      </c>
      <c r="C134" s="16"/>
      <c r="D134" s="21" t="s">
        <v>139</v>
      </c>
      <c r="E134" s="29"/>
    </row>
    <row r="135" spans="1:5" ht="15.75" thickBot="1" x14ac:dyDescent="0.3">
      <c r="A135" s="3" t="s">
        <v>140</v>
      </c>
      <c r="B135" s="15" cm="1">
        <f t="array" ref="B135">_xlfn.IFS(C135=0,0,$C$125=0,"Answer C127",$C$125="yes",(C135*0.01)*175,$C$125="no",(C135*0.01)*2500)</f>
        <v>0</v>
      </c>
      <c r="C135" s="16"/>
      <c r="D135" s="21" t="s">
        <v>130</v>
      </c>
      <c r="E135" s="29"/>
    </row>
    <row r="136" spans="1:5" ht="15.75" thickBot="1" x14ac:dyDescent="0.3">
      <c r="A136" s="3" t="s">
        <v>141</v>
      </c>
      <c r="B136" s="15" cm="1">
        <f t="array" ref="B136">_xlfn.IFS(C136=0,0,$C$125=0,"Answer C127",$C$125="yes",(C136*1.1)*350,$C$125="no",(C136*1.1)*2500)</f>
        <v>0</v>
      </c>
      <c r="C136" s="16"/>
      <c r="D136" s="21" t="s">
        <v>142</v>
      </c>
      <c r="E136" s="29"/>
    </row>
    <row r="137" spans="1:5" ht="15.75" thickBot="1" x14ac:dyDescent="0.3">
      <c r="A137" s="3" t="s">
        <v>143</v>
      </c>
      <c r="B137" s="15" cm="1">
        <f t="array" ref="B137">_xlfn.IFS(C137=0,0,$C$125=0,"Answer C127",$C$125="yes",(C137*0.3)*350,$C$125="no",(C137*0.3)*2500)</f>
        <v>0</v>
      </c>
      <c r="C137" s="16"/>
      <c r="D137" s="21" t="s">
        <v>144</v>
      </c>
      <c r="E137" s="29"/>
    </row>
    <row r="138" spans="1:5" ht="15.75" thickBot="1" x14ac:dyDescent="0.3">
      <c r="A138" s="3" t="s">
        <v>145</v>
      </c>
      <c r="B138" s="15" cm="1">
        <f t="array" ref="B138">_xlfn.IFS(C138=0,0,$C$125=0,"Answer C127",$C$125="yes",C138*350,$C$125="no",C138*2500)</f>
        <v>0</v>
      </c>
      <c r="C138" s="16"/>
      <c r="D138" s="21" t="s">
        <v>146</v>
      </c>
      <c r="E138" s="29"/>
    </row>
    <row r="139" spans="1:5" ht="15.75" thickBot="1" x14ac:dyDescent="0.3">
      <c r="A139" s="3" t="s">
        <v>147</v>
      </c>
      <c r="B139" s="15" cm="1">
        <f t="array" ref="B139">_xlfn.IFS(C139=0,0,$C$125=0,"Answer C127",$C$125="yes",((C139/1000)*0.09)*350,$C$125="no",((C139/1000)*0.09)*2500)</f>
        <v>0</v>
      </c>
      <c r="C139" s="16"/>
      <c r="D139" s="21" t="s">
        <v>10</v>
      </c>
      <c r="E139" s="29"/>
    </row>
    <row r="140" spans="1:5" ht="15.75" thickBot="1" x14ac:dyDescent="0.3">
      <c r="A140" s="3" t="s">
        <v>148</v>
      </c>
      <c r="B140" s="15" cm="1">
        <f t="array" ref="B140">_xlfn.IFS(C140=0,0,$C$125=0,"Answer C127",$C$125="yes",(C140*1.2)*350,$C$125="no",(C140*1.2)*2500)</f>
        <v>0</v>
      </c>
      <c r="C140" s="16"/>
      <c r="D140" s="21" t="s">
        <v>149</v>
      </c>
      <c r="E140" s="29"/>
    </row>
    <row r="141" spans="1:5" ht="15.75" thickBot="1" x14ac:dyDescent="0.3">
      <c r="A141" s="3" t="s">
        <v>150</v>
      </c>
      <c r="B141" s="15" cm="1">
        <f t="array" ref="B141">_xlfn.IFS(C141=0,0,$C$125=0,"Answer C127",$C$125="yes",(C141*0.35)*350,$C$125="no",(C141*0.35)*2500)</f>
        <v>0</v>
      </c>
      <c r="C141" s="16"/>
      <c r="D141" s="21" t="s">
        <v>151</v>
      </c>
      <c r="E141" s="29"/>
    </row>
    <row r="142" spans="1:5" ht="15.75" thickBot="1" x14ac:dyDescent="0.3">
      <c r="A142" t="s">
        <v>152</v>
      </c>
      <c r="B142" s="24">
        <f>SUM(B143:B149)</f>
        <v>0</v>
      </c>
      <c r="C142" s="33"/>
      <c r="D142" s="31" t="s">
        <v>153</v>
      </c>
    </row>
    <row r="143" spans="1:5" ht="15.75" thickBot="1" x14ac:dyDescent="0.3">
      <c r="A143" s="3" t="s">
        <v>154</v>
      </c>
      <c r="B143" s="20" cm="1">
        <f t="array" ref="B143">_xlfn.IFS(C143=0,0,$C$142=0,"Answer C144",$C$142="Yes",(600*C143),$C$142="No",(800*C143))</f>
        <v>0</v>
      </c>
      <c r="C143" s="16"/>
      <c r="D143" s="21" t="s">
        <v>98</v>
      </c>
      <c r="E143" s="148"/>
    </row>
    <row r="144" spans="1:5" ht="15.75" thickBot="1" x14ac:dyDescent="0.3">
      <c r="A144" s="3" t="s">
        <v>155</v>
      </c>
      <c r="B144" s="20" cm="1">
        <f t="array" ref="B144">_xlfn.IFS(C144=0,0,$C$142=0,"Answer C144",$C$142="Yes",(1100*C144),$C$142="No",(1350*C144))</f>
        <v>0</v>
      </c>
      <c r="C144" s="16"/>
      <c r="D144" s="21" t="s">
        <v>98</v>
      </c>
      <c r="E144" s="148"/>
    </row>
    <row r="145" spans="1:5" ht="15.75" thickBot="1" x14ac:dyDescent="0.3">
      <c r="A145" s="3" t="s">
        <v>156</v>
      </c>
      <c r="B145" s="20" cm="1">
        <f t="array" ref="B145">_xlfn.IFS(C145=0,0,$C$142=0,"Answer C144",$C$142="Yes",(3750*C145),$C$142="No",(4100*C145))</f>
        <v>0</v>
      </c>
      <c r="C145" s="16"/>
      <c r="D145" s="21" t="s">
        <v>98</v>
      </c>
      <c r="E145" s="148"/>
    </row>
    <row r="146" spans="1:5" ht="15.75" customHeight="1" thickBot="1" x14ac:dyDescent="0.3">
      <c r="A146" s="3" t="s">
        <v>157</v>
      </c>
      <c r="B146" s="20" cm="1">
        <f t="array" ref="B146">_xlfn.IFS(C146=0,0,$C$142=0,"Answer C144",$C$142="Yes",(4000*C146),$C$142="No",(4350*C146))</f>
        <v>0</v>
      </c>
      <c r="C146" s="16"/>
      <c r="D146" s="21" t="s">
        <v>98</v>
      </c>
      <c r="E146" s="148"/>
    </row>
    <row r="147" spans="1:5" ht="15.75" thickBot="1" x14ac:dyDescent="0.3">
      <c r="A147" s="3" t="s">
        <v>158</v>
      </c>
      <c r="B147" s="20" cm="1">
        <f t="array" ref="B147">_xlfn.IFS(C147=0,0,$C$142=0,"Answer C144",$C$142="Yes",(6000*C147),$C$142="No",(6350*C147))</f>
        <v>0</v>
      </c>
      <c r="C147" s="16"/>
      <c r="D147" s="21" t="s">
        <v>98</v>
      </c>
      <c r="E147" s="148"/>
    </row>
    <row r="148" spans="1:5" ht="15.75" thickBot="1" x14ac:dyDescent="0.3">
      <c r="A148" s="3" t="s">
        <v>159</v>
      </c>
      <c r="B148" s="20" cm="1">
        <f t="array" ref="B148">_xlfn.IFS(C148=0,0,$C$142=0,"Answer C144",$C$142="Yes",(8000*C148),$C$142="No",(8350*C148))</f>
        <v>0</v>
      </c>
      <c r="C148" s="16"/>
      <c r="D148" s="21" t="s">
        <v>98</v>
      </c>
      <c r="E148" s="148"/>
    </row>
    <row r="149" spans="1:5" ht="15.75" thickBot="1" x14ac:dyDescent="0.3">
      <c r="A149" s="3" t="s">
        <v>362</v>
      </c>
      <c r="B149" s="20" cm="1">
        <f t="array" ref="B149">_xlfn.IFS(C149=0,0,$C$142=0,"Answer C144",$C$142="Yes",(12000*C149),$C$142="No",(12350*C149))</f>
        <v>0</v>
      </c>
      <c r="C149" s="16"/>
      <c r="D149" s="21" t="s">
        <v>98</v>
      </c>
      <c r="E149" s="147"/>
    </row>
    <row r="150" spans="1:5" ht="15.75" thickBot="1" x14ac:dyDescent="0.3">
      <c r="A150" s="9" t="s">
        <v>160</v>
      </c>
      <c r="B150" s="2" cm="1">
        <f t="array" ref="B150">_xlfn.IFS(C150=0,0,C150=4,2000,C150=6,3000,C150=8,4000,C150=10,5000,C150=12,6000)</f>
        <v>0</v>
      </c>
      <c r="C150" s="16"/>
      <c r="D150" t="s">
        <v>161</v>
      </c>
    </row>
    <row r="151" spans="1:5" x14ac:dyDescent="0.25">
      <c r="A151" s="11" t="s">
        <v>162</v>
      </c>
      <c r="B151" s="10">
        <f>SUM(B125+B142+B150)</f>
        <v>0</v>
      </c>
    </row>
    <row r="152" spans="1:5" ht="16.5" thickBot="1" x14ac:dyDescent="0.3">
      <c r="A152" s="28" t="s">
        <v>79</v>
      </c>
    </row>
    <row r="153" spans="1:5" ht="15.75" thickBot="1" x14ac:dyDescent="0.3">
      <c r="A153" t="s">
        <v>163</v>
      </c>
      <c r="B153" s="24">
        <f>SUM(B154:B169)</f>
        <v>0</v>
      </c>
      <c r="C153" s="32"/>
      <c r="D153" s="31" t="s">
        <v>124</v>
      </c>
    </row>
    <row r="154" spans="1:5" ht="15.75" customHeight="1" thickBot="1" x14ac:dyDescent="0.3">
      <c r="A154" s="3" t="s">
        <v>125</v>
      </c>
      <c r="B154" s="15" cm="1">
        <f t="array" ref="B154">_xlfn.IFS(C154=0,0,$C$153=0,"Answer C155",$C$153="yes",C154*2200,$C$153="no",C154*4500)</f>
        <v>0</v>
      </c>
      <c r="C154" s="16"/>
      <c r="D154" s="21" t="s">
        <v>126</v>
      </c>
      <c r="E154" s="29"/>
    </row>
    <row r="155" spans="1:5" ht="15.75" thickBot="1" x14ac:dyDescent="0.3">
      <c r="A155" s="3" t="s">
        <v>127</v>
      </c>
      <c r="B155" s="15" cm="1">
        <f t="array" ref="B155">_xlfn.IFS(C155=0,0,$C$153=0,"Answer C155",$C$153="yes",(C155*0.8)*1100,$C$153="no",(C155*0.8)*4500)</f>
        <v>0</v>
      </c>
      <c r="C155" s="16"/>
      <c r="D155" s="21" t="s">
        <v>128</v>
      </c>
      <c r="E155" s="29"/>
    </row>
    <row r="156" spans="1:5" ht="15.75" thickBot="1" x14ac:dyDescent="0.3">
      <c r="A156" s="3" t="s">
        <v>129</v>
      </c>
      <c r="B156" s="15" cm="1">
        <f t="array" ref="B156">_xlfn.IFS(C156=0,0,$C$153=0,"Answer C155",$C$153="yes",(C156*0.1)*1100,$C$153="no",(C156*0.1)*4500)</f>
        <v>0</v>
      </c>
      <c r="C156" s="16"/>
      <c r="D156" s="21" t="s">
        <v>130</v>
      </c>
      <c r="E156" s="29"/>
    </row>
    <row r="157" spans="1:5" ht="15.75" thickBot="1" x14ac:dyDescent="0.3">
      <c r="A157" s="3" t="s">
        <v>131</v>
      </c>
      <c r="B157" s="15" cm="1">
        <f t="array" ref="B157">_xlfn.IFS(C157=0,0,$C$153=0,"Answer C155",$C$153="yes",(C157*0.3)*1100,$C$153="no",(C157*0.3)*4500)</f>
        <v>0</v>
      </c>
      <c r="C157" s="16"/>
      <c r="D157" s="21" t="s">
        <v>128</v>
      </c>
      <c r="E157" s="29"/>
    </row>
    <row r="158" spans="1:5" ht="15.75" thickBot="1" x14ac:dyDescent="0.3">
      <c r="A158" s="3" t="s">
        <v>132</v>
      </c>
      <c r="B158" s="15" cm="1">
        <f t="array" ref="B158">_xlfn.IFS(C158=0,0,$C$153=0,"Answer C155",$C$153="yes",((C158/100)*0.04)*1100,$C$153="no",((C158/100)*0.04)*4500)</f>
        <v>0</v>
      </c>
      <c r="C158" s="16"/>
      <c r="D158" s="21" t="s">
        <v>10</v>
      </c>
      <c r="E158" s="29"/>
    </row>
    <row r="159" spans="1:5" ht="15.75" thickBot="1" x14ac:dyDescent="0.3">
      <c r="A159" s="3" t="s">
        <v>133</v>
      </c>
      <c r="B159" s="15" cm="1">
        <f t="array" ref="B159">_xlfn.IFS(C159=0,0,$C$153=0,"Answer C155",$C$153="yes",((C159/100)*0.02)*1100,$C$153="no",((C159/100)*0.02)*4500)</f>
        <v>0</v>
      </c>
      <c r="C159" s="16"/>
      <c r="D159" s="21" t="s">
        <v>10</v>
      </c>
      <c r="E159" s="29"/>
    </row>
    <row r="160" spans="1:5" ht="15.75" thickBot="1" x14ac:dyDescent="0.3">
      <c r="A160" s="3" t="s">
        <v>134</v>
      </c>
      <c r="B160" s="15" cm="1">
        <f t="array" ref="B160">_xlfn.IFS(C160=0,0,$C$153=0,"Answer C155",$C$153="yes",(C160*0.07)*2200,$C$153="no",(C160*0.07)*4500)</f>
        <v>0</v>
      </c>
      <c r="C160" s="16"/>
      <c r="D160" s="21" t="s">
        <v>135</v>
      </c>
      <c r="E160" s="29"/>
    </row>
    <row r="161" spans="1:5" ht="15.75" thickBot="1" x14ac:dyDescent="0.3">
      <c r="A161" s="3" t="s">
        <v>136</v>
      </c>
      <c r="B161" s="15" cm="1">
        <f t="array" ref="B161">_xlfn.IFS(C161=0,0,$C$153=0,"Answer C155",$C$153="yes",(C161*0.04)*2200,$C$153="no",(C161*0.04)*4500)</f>
        <v>0</v>
      </c>
      <c r="C161" s="16"/>
      <c r="D161" s="21" t="s">
        <v>137</v>
      </c>
      <c r="E161" s="29"/>
    </row>
    <row r="162" spans="1:5" ht="15.75" thickBot="1" x14ac:dyDescent="0.3">
      <c r="A162" s="3" t="s">
        <v>138</v>
      </c>
      <c r="B162" s="15" cm="1">
        <f t="array" ref="B162">_xlfn.IFS(C162=0,0,$C$153=0,"Answer C155",$C$153="yes",(C162*0.25)*2200,$C$153="no",(C162*0.25)*4500)</f>
        <v>0</v>
      </c>
      <c r="C162" s="16"/>
      <c r="D162" s="21" t="s">
        <v>139</v>
      </c>
      <c r="E162" s="29"/>
    </row>
    <row r="163" spans="1:5" ht="15.75" thickBot="1" x14ac:dyDescent="0.3">
      <c r="A163" s="3" t="s">
        <v>140</v>
      </c>
      <c r="B163" s="15" cm="1">
        <f t="array" ref="B163">_xlfn.IFS(C163=0,0,$C$153=0,"Answer C155",$C$153="yes",(C163*0.01)*1100,$C$153="no",(C163*0.01)*4500)</f>
        <v>0</v>
      </c>
      <c r="C163" s="16"/>
      <c r="D163" s="21" t="s">
        <v>130</v>
      </c>
      <c r="E163" s="29"/>
    </row>
    <row r="164" spans="1:5" ht="15.75" thickBot="1" x14ac:dyDescent="0.3">
      <c r="A164" s="3" t="s">
        <v>141</v>
      </c>
      <c r="B164" s="15" cm="1">
        <f t="array" ref="B164">_xlfn.IFS(C164=0,0,$C$153=0,"Answer C155",$C$153="yes",(C164*1.1)*2200,$C$153="no",(C164*1.1)*4500)</f>
        <v>0</v>
      </c>
      <c r="C164" s="16"/>
      <c r="D164" s="21" t="s">
        <v>142</v>
      </c>
      <c r="E164" s="29"/>
    </row>
    <row r="165" spans="1:5" ht="15.75" thickBot="1" x14ac:dyDescent="0.3">
      <c r="A165" s="3" t="s">
        <v>143</v>
      </c>
      <c r="B165" s="15" cm="1">
        <f t="array" ref="B165">_xlfn.IFS(C165=0,0,$C$153=0,"Answer C155",$C$153="yes",(C165*0.3)*2200,$C$153="no",(C165*0.3)*4500)</f>
        <v>0</v>
      </c>
      <c r="C165" s="16"/>
      <c r="D165" s="21" t="s">
        <v>144</v>
      </c>
      <c r="E165" s="29"/>
    </row>
    <row r="166" spans="1:5" ht="15.75" thickBot="1" x14ac:dyDescent="0.3">
      <c r="A166" s="3" t="s">
        <v>145</v>
      </c>
      <c r="B166" s="15" cm="1">
        <f t="array" ref="B166">_xlfn.IFS(C166=0,0,$C$153=0,"Answer C155",$C$153="yes",C166*2200,$C$153="no",C166*4500)</f>
        <v>0</v>
      </c>
      <c r="C166" s="16"/>
      <c r="D166" s="21" t="s">
        <v>146</v>
      </c>
      <c r="E166" s="29"/>
    </row>
    <row r="167" spans="1:5" ht="15.75" thickBot="1" x14ac:dyDescent="0.3">
      <c r="A167" s="3" t="s">
        <v>147</v>
      </c>
      <c r="B167" s="15" cm="1">
        <f t="array" ref="B167">_xlfn.IFS(C167=0,0,$C$153=0,"Answer C155",$C$153="yes",((C167/1000)*0.09)*2200,$C$153="no",((C167/1000)*0.09)*4500)</f>
        <v>0</v>
      </c>
      <c r="C167" s="16"/>
      <c r="D167" s="21" t="s">
        <v>10</v>
      </c>
      <c r="E167" s="29"/>
    </row>
    <row r="168" spans="1:5" ht="15.75" thickBot="1" x14ac:dyDescent="0.3">
      <c r="A168" s="3" t="s">
        <v>148</v>
      </c>
      <c r="B168" s="15" cm="1">
        <f t="array" ref="B168">_xlfn.IFS(C168=0,0,$C$153=0,"Answer C155",$C$153="yes",(C168*1.2)*2200,$C$153="no",(C168*1.2)*4500)</f>
        <v>0</v>
      </c>
      <c r="C168" s="16"/>
      <c r="D168" s="21" t="s">
        <v>149</v>
      </c>
      <c r="E168" s="29"/>
    </row>
    <row r="169" spans="1:5" ht="15.75" thickBot="1" x14ac:dyDescent="0.3">
      <c r="A169" s="3" t="s">
        <v>150</v>
      </c>
      <c r="B169" s="15" cm="1">
        <f t="array" ref="B169">_xlfn.IFS(C169=0,0,$C$153=0,"Answer C155",$C$153="yes",(C169*0.35)*2200,$C$153="no",(C169*0.35)*4500)</f>
        <v>0</v>
      </c>
      <c r="C169" s="16"/>
      <c r="D169" s="21" t="s">
        <v>151</v>
      </c>
      <c r="E169" s="29"/>
    </row>
    <row r="170" spans="1:5" ht="15.75" thickBot="1" x14ac:dyDescent="0.3">
      <c r="A170" t="s">
        <v>164</v>
      </c>
      <c r="B170" s="24">
        <f>SUM(B172:B188)</f>
        <v>0</v>
      </c>
      <c r="C170" s="32"/>
      <c r="D170" s="31" t="s">
        <v>153</v>
      </c>
    </row>
    <row r="171" spans="1:5" ht="15.75" thickBot="1" x14ac:dyDescent="0.3">
      <c r="B171" s="30"/>
      <c r="C171" s="32"/>
      <c r="D171" s="31" t="s">
        <v>124</v>
      </c>
    </row>
    <row r="172" spans="1:5" ht="15.75" customHeight="1" thickBot="1" x14ac:dyDescent="0.3">
      <c r="A172" s="3" t="s">
        <v>125</v>
      </c>
      <c r="B172" s="15" cm="1">
        <f t="array" ref="B172">_xlfn.IFS(C172=0,0,$C$170=0,"Answer C172",$C$171=0,"Answer C173",$C$170="no",C172*2000,$C$171="yes",C172*1500,$C$170="yes",C172*1500)</f>
        <v>0</v>
      </c>
      <c r="C172" s="16"/>
      <c r="D172" s="21" t="s">
        <v>126</v>
      </c>
      <c r="E172" s="29"/>
    </row>
    <row r="173" spans="1:5" ht="15.75" thickBot="1" x14ac:dyDescent="0.3">
      <c r="A173" s="3" t="s">
        <v>127</v>
      </c>
      <c r="B173" s="15" cm="1">
        <f t="array" ref="B173">_xlfn.IFS(C173=0,0,$C$170=0,"Answer C172",$C$171=0,"Answer C173", $C$170="no",_xlfn.IFS((C173*1600)&lt;2000,2000,(C173*1600)&gt;2000,C173*1600),$C$171="yes",_xlfn.IFS((C173*450)&lt;1500,1500,(C173*450)&gt;1500,C173*450),$C$170="yes",_xlfn.IFS((C173*900)&lt;1500,1500,(C173*900)&gt;1500,C173*900))</f>
        <v>0</v>
      </c>
      <c r="C173" s="16"/>
      <c r="D173" s="21" t="s">
        <v>128</v>
      </c>
    </row>
    <row r="174" spans="1:5" ht="15.75" thickBot="1" x14ac:dyDescent="0.3">
      <c r="A174" s="3" t="s">
        <v>165</v>
      </c>
      <c r="B174" s="15" cm="1">
        <f t="array" ref="B174">_xlfn.IFS(C174=0,0,$C$170=0,"Answer C172",$C$171=0,"Answer C173",$C$170="no",C174*2500,$C$171="yes",C174*2000,$C$170="yes",C174*2000)</f>
        <v>0</v>
      </c>
      <c r="C174" s="16"/>
      <c r="D174" s="21" t="s">
        <v>126</v>
      </c>
    </row>
    <row r="175" spans="1:5" ht="15.75" thickBot="1" x14ac:dyDescent="0.3">
      <c r="A175" s="3" t="s">
        <v>129</v>
      </c>
      <c r="B175" s="15" cm="1">
        <f t="array" ref="B175">_xlfn.IFS(C175=0,0,$C$170=0,"Answer C172",$C$171=0,"Answer C173", $C$170="no",_xlfn.IFS((C175*200)&lt;2000,2000,(C175*200)&gt;2000,C175*200),$C$171="yes",_xlfn.IFS((C175*25)&lt;1500,1500,(C175*25)&gt;1500,C175*25),$C$170="yes",_xlfn.IFS((C175*65)&lt;1500,1500,(C175*65)&gt;1500,C175*65))</f>
        <v>0</v>
      </c>
      <c r="C175" s="16"/>
      <c r="D175" s="21" t="s">
        <v>130</v>
      </c>
    </row>
    <row r="176" spans="1:5" ht="15.75" thickBot="1" x14ac:dyDescent="0.3">
      <c r="A176" s="3" t="s">
        <v>131</v>
      </c>
      <c r="B176" s="15" cm="1">
        <f t="array" ref="B176">_xlfn.IFS(C176=0,0,$C$170=0,"Answer C172",$C$171=0,"Answer C173", $C$170="no",_xlfn.IFS((C176*600)&lt;2000,2000,(C176*600)&gt;2000,C176*600),$C$171="yes",_xlfn.IFS((C176*100)&lt;1500,1500,(C176*100)&gt;1500,C176*100),$C$170="yes",_xlfn.IFS((C176*180)&lt;1500,1500,(C176*180)&gt;1500,C176*180))</f>
        <v>0</v>
      </c>
      <c r="C176" s="16"/>
      <c r="D176" s="21" t="s">
        <v>128</v>
      </c>
    </row>
    <row r="177" spans="1:5" ht="15.75" thickBot="1" x14ac:dyDescent="0.3">
      <c r="A177" s="3" t="s">
        <v>132</v>
      </c>
      <c r="B177" s="15" cm="1">
        <f t="array" ref="B177">_xlfn.IFS(C177=0,0,$C$170=0,"Answer C172",$C$171=0,"Answer C173", $C$170="no",_xlfn.IFS(((C177/100)*80)&lt;2000,2000,((C177/100)*80)&gt;2000,(C177/100)*80),$C$171="yes",_xlfn.IFS(((C177/100)*12.5)&lt;1500,1500,((C177/100)*12.5)&gt;1500,(C177/100)*12.5),$C$170="yes",_xlfn.IFS(((C177/100)*26)&lt;1500,1500,((C177/100)*26)&gt;1500,(C177/100)*26))</f>
        <v>0</v>
      </c>
      <c r="C177" s="16"/>
      <c r="D177" s="21" t="s">
        <v>10</v>
      </c>
    </row>
    <row r="178" spans="1:5" ht="15.75" thickBot="1" x14ac:dyDescent="0.3">
      <c r="A178" s="3" t="s">
        <v>133</v>
      </c>
      <c r="B178" s="15" cm="1">
        <f t="array" ref="B178">_xlfn.IFS(C178=0,0,$C$170=0,"Answer C172",$C$171=0,"Answer C173", $C$170="no",_xlfn.IFS(((C178/100)*40)&lt;2000,2000,((C178/100)*40)&gt;2000,(C178/100)*40),$C$171="yes",_xlfn.IFS(((C178/100)*7.5)&lt;1500,1500,((C178/100)*7.5)&gt;1500,(C178/100)*7.5),$C$170="yes",_xlfn.IFS(((C178/100)*13)&lt;1500,1500,((C178/100)*13)&gt;1500,(C178/100)*13))</f>
        <v>0</v>
      </c>
      <c r="C178" s="16"/>
      <c r="D178" s="21" t="s">
        <v>166</v>
      </c>
    </row>
    <row r="179" spans="1:5" ht="15.75" thickBot="1" x14ac:dyDescent="0.3">
      <c r="A179" s="3" t="s">
        <v>134</v>
      </c>
      <c r="B179" s="15" cm="1">
        <f t="array" ref="B179">_xlfn.IFS(C179=0,0,$C$170=0,"Answer C172",$C$171=0,"Answer C173", $C$170="no",_xlfn.IFS((C179*140)&lt;2000,2000,(C179*140)&gt;2000,C179*140),$C$170="yes",_xlfn.IFS((C179*45)&lt;1500,1500,(C179*45)&gt;1500,C179*45))</f>
        <v>0</v>
      </c>
      <c r="C179" s="16"/>
      <c r="D179" s="21" t="s">
        <v>135</v>
      </c>
    </row>
    <row r="180" spans="1:5" ht="15.75" thickBot="1" x14ac:dyDescent="0.3">
      <c r="A180" s="3" t="s">
        <v>136</v>
      </c>
      <c r="B180" s="15" cm="1">
        <f t="array" ref="B180">_xlfn.IFS(C180=0,0,$C$170=0,"Answer C172",$C$171=0,"Answer C173", $C$170="no",_xlfn.IFS((C180*80)&lt;2000,2000,(C180*80)&gt;2000,C180*80),$C$170="yes",_xlfn.IFS((C180*26)&lt;1500,1500,(C180*26)&gt;1500,C180*26))</f>
        <v>0</v>
      </c>
      <c r="C180" s="16"/>
      <c r="D180" s="21" t="s">
        <v>137</v>
      </c>
    </row>
    <row r="181" spans="1:5" ht="15.75" thickBot="1" x14ac:dyDescent="0.3">
      <c r="A181" s="3" t="s">
        <v>138</v>
      </c>
      <c r="B181" s="15" cm="1">
        <f t="array" ref="B181">_xlfn.IFS(C181=0,0,$C$170=0,"Answer C172",$C$171=0,"Answer C173", $C$170="no",_xlfn.IFS((C181*500)&lt;2000,2000,(C181*500)&gt;2000,C181*500),$C$170="yes",_xlfn.IFS((C181*163)&lt;1500,1500,(C181*163)&gt;1500,C181*163))</f>
        <v>0</v>
      </c>
      <c r="C181" s="16"/>
      <c r="D181" s="21" t="s">
        <v>139</v>
      </c>
    </row>
    <row r="182" spans="1:5" ht="15.75" thickBot="1" x14ac:dyDescent="0.3">
      <c r="A182" s="3" t="s">
        <v>140</v>
      </c>
      <c r="B182" s="15" cm="1">
        <f t="array" ref="B182">_xlfn.IFS(C182=0,0,$C$170=0,"Answer C172",$C$171=0,"Answer C173", $C$170="no",_xlfn.IFS((C182*20)&lt;2000,2000,(C182*20)&gt;2000,C182*20),$C$171="yes",_xlfn.IFS((C182*7.5)&lt;1500,1500,(C182*7.5)&gt;1500,C182*7.5),$C$170="yes",_xlfn.IFS((C182*6.5)&lt;1500,1500,(C182*6.5)&gt;1500,C182*6.5))</f>
        <v>0</v>
      </c>
      <c r="C182" s="16"/>
      <c r="D182" s="21" t="s">
        <v>130</v>
      </c>
    </row>
    <row r="183" spans="1:5" ht="15.75" thickBot="1" x14ac:dyDescent="0.3">
      <c r="A183" s="3" t="s">
        <v>141</v>
      </c>
      <c r="B183" s="15" cm="1">
        <f t="array" ref="B183">_xlfn.IFS(C183=0,0,$C$170=0,"Answer C172",$C$171=0,"Answer C173", $C$170="no",2200*C183,$C$170="yes",_xlfn.IFS((C183*715)&lt;1500,1500,(C183*715)&gt;1500,C183*715))</f>
        <v>0</v>
      </c>
      <c r="C183" s="16"/>
      <c r="D183" s="21" t="s">
        <v>142</v>
      </c>
    </row>
    <row r="184" spans="1:5" ht="15.75" thickBot="1" x14ac:dyDescent="0.3">
      <c r="A184" s="3" t="s">
        <v>143</v>
      </c>
      <c r="B184" s="15" cm="1">
        <f t="array" ref="B184">_xlfn.IFS(C184=0,0,$C$170=0,"Answer C172",$C$171=0,"Answer C173", $C$170="no",_xlfn.IFS((C184*600)&lt;2000,2000,(C184*600)&gt;2000,C184*600),$C$170="yes",_xlfn.IFS((C184*195)&lt;1500,1500,(C184*195)&gt;1500,C184*195))</f>
        <v>0</v>
      </c>
      <c r="C184" s="16"/>
      <c r="D184" s="21" t="s">
        <v>144</v>
      </c>
    </row>
    <row r="185" spans="1:5" ht="15.75" thickBot="1" x14ac:dyDescent="0.3">
      <c r="A185" s="3" t="s">
        <v>145</v>
      </c>
      <c r="B185" s="15" cm="1">
        <f t="array" ref="B185">_xlfn.IFS(C185=0,0,$C$170=0,"Answer C172",$C$171=0,"Answer C173", $C$170="no",2000*C185,$C$170="yes",_xlfn.IFS((C185*650)&lt;1500,1500,(C185*650)&gt;1500,C185*650))</f>
        <v>0</v>
      </c>
      <c r="C185" s="16"/>
      <c r="D185" s="21" t="s">
        <v>146</v>
      </c>
    </row>
    <row r="186" spans="1:5" ht="15.75" thickBot="1" x14ac:dyDescent="0.3">
      <c r="A186" s="3" t="s">
        <v>147</v>
      </c>
      <c r="B186" s="15" cm="1">
        <f t="array" ref="B186">_xlfn.IFS(C186=0,0,$C$170=0,"Answer C172",$C$171=0,"Answer C173", $C$170="no",_xlfn.IFS(((C186/1000)*1800)&lt;2000,2000,((C186/1000)*1800)&gt;2000,(C186/1000)*1800),$C$170="yes",_xlfn.IFS(((C186/1000)*585)&lt;1500,1500,((C186/1000)*585)&gt;1500,(C186/1000)*585))</f>
        <v>0</v>
      </c>
      <c r="C186" s="16"/>
      <c r="D186" s="21" t="s">
        <v>10</v>
      </c>
    </row>
    <row r="187" spans="1:5" ht="15.75" thickBot="1" x14ac:dyDescent="0.3">
      <c r="A187" s="3" t="s">
        <v>148</v>
      </c>
      <c r="B187" s="15" cm="1">
        <f t="array" ref="B187">_xlfn.IFS(C187=0,0,$C$170=0,"Answer C172",$C$171=0,"Answer C173", $C$170="no",2400*C187,$C$170="yes",_xlfn.IFS((C187*780)&lt;1500,1500,(C187*780)&gt;1500,C187*780))</f>
        <v>0</v>
      </c>
      <c r="C187" s="16"/>
      <c r="D187" s="21" t="s">
        <v>149</v>
      </c>
    </row>
    <row r="188" spans="1:5" ht="15.75" thickBot="1" x14ac:dyDescent="0.3">
      <c r="A188" s="3" t="s">
        <v>150</v>
      </c>
      <c r="B188" s="15" cm="1">
        <f t="array" ref="B188">_xlfn.IFS(C188=0,0,$C$170=0,"Answer C172",$C$171=0,"Answer C173", $C$170="no",_xlfn.IFS((C188*700)&lt;2000,2000,(C188*700)&gt;2000,C188*700),$C$170="yes",_xlfn.IFS((C188*227)&lt;1500,1500,(C188*227)&gt;1500,C188*227))</f>
        <v>0</v>
      </c>
      <c r="C188" s="16"/>
      <c r="D188" s="21" t="s">
        <v>151</v>
      </c>
    </row>
    <row r="189" spans="1:5" x14ac:dyDescent="0.25">
      <c r="A189" s="11" t="s">
        <v>167</v>
      </c>
      <c r="B189" s="10">
        <f>SUM(B153+B170)</f>
        <v>0</v>
      </c>
    </row>
    <row r="190" spans="1:5" ht="15.75" thickBot="1" x14ac:dyDescent="0.3">
      <c r="A190" s="13" t="s">
        <v>168</v>
      </c>
      <c r="B190" s="19">
        <f>SUM(B191:B193)</f>
        <v>0</v>
      </c>
      <c r="E190" s="14"/>
    </row>
    <row r="191" spans="1:5" ht="15.75" thickBot="1" x14ac:dyDescent="0.3">
      <c r="A191" s="12" t="s">
        <v>334</v>
      </c>
      <c r="B191" s="2">
        <f>IF(C191=0,0,IF(C191&lt;=50,700,IF(C191&gt;50,700+(C191-50)*9)))</f>
        <v>0</v>
      </c>
      <c r="C191" s="16"/>
      <c r="D191" s="21" t="s">
        <v>29</v>
      </c>
      <c r="E191" s="14"/>
    </row>
    <row r="192" spans="1:5" ht="15.75" thickBot="1" x14ac:dyDescent="0.3">
      <c r="A192" s="12" t="s">
        <v>333</v>
      </c>
      <c r="B192" s="2">
        <f>IF(C192=0,0,IF(C192&lt;=50,900,IF(C192&gt;50,900+(C192-50)*10)))</f>
        <v>0</v>
      </c>
      <c r="C192" s="16"/>
      <c r="D192" s="21" t="s">
        <v>29</v>
      </c>
      <c r="E192" s="14"/>
    </row>
    <row r="193" spans="1:5" ht="15.75" thickBot="1" x14ac:dyDescent="0.3">
      <c r="A193" s="12" t="s">
        <v>335</v>
      </c>
      <c r="B193" s="2">
        <f>IF(C193=0,0,IF(C193&lt;=50,1000,IF(C193&gt;50,1000+(C193-50)*12)))</f>
        <v>0</v>
      </c>
      <c r="C193" s="144"/>
      <c r="D193" s="21" t="s">
        <v>29</v>
      </c>
      <c r="E193" s="14"/>
    </row>
    <row r="194" spans="1:5" ht="15.75" thickBot="1" x14ac:dyDescent="0.3">
      <c r="A194" s="12" t="s">
        <v>336</v>
      </c>
      <c r="B194" s="151" t="s">
        <v>337</v>
      </c>
      <c r="C194" s="152"/>
      <c r="D194" s="21"/>
      <c r="E194" s="14"/>
    </row>
    <row r="195" spans="1:5" ht="15.75" thickBot="1" x14ac:dyDescent="0.3">
      <c r="A195" s="13" t="s">
        <v>338</v>
      </c>
      <c r="B195" s="14">
        <f>SUM(B196:B199)</f>
        <v>0</v>
      </c>
      <c r="D195" s="21"/>
      <c r="E195" s="14"/>
    </row>
    <row r="196" spans="1:5" ht="15.75" thickBot="1" x14ac:dyDescent="0.3">
      <c r="A196" s="13" t="s">
        <v>339</v>
      </c>
      <c r="B196" s="14">
        <f>100*C196</f>
        <v>0</v>
      </c>
      <c r="C196" s="145"/>
      <c r="D196" s="21" t="s">
        <v>344</v>
      </c>
      <c r="E196" s="14"/>
    </row>
    <row r="197" spans="1:5" ht="15.75" thickBot="1" x14ac:dyDescent="0.3">
      <c r="A197" s="13" t="s">
        <v>340</v>
      </c>
      <c r="B197" s="14">
        <f>125*C197</f>
        <v>0</v>
      </c>
      <c r="C197" s="145"/>
      <c r="D197" s="21" t="s">
        <v>98</v>
      </c>
      <c r="E197" s="14"/>
    </row>
    <row r="198" spans="1:5" ht="15.75" thickBot="1" x14ac:dyDescent="0.3">
      <c r="A198" s="13" t="s">
        <v>341</v>
      </c>
      <c r="B198" s="14">
        <f>200*C198</f>
        <v>0</v>
      </c>
      <c r="C198" s="146"/>
      <c r="D198" s="21" t="s">
        <v>98</v>
      </c>
      <c r="E198" s="14"/>
    </row>
    <row r="199" spans="1:5" ht="15.75" thickBot="1" x14ac:dyDescent="0.3">
      <c r="A199" s="13" t="s">
        <v>342</v>
      </c>
      <c r="B199" s="14">
        <f>100*C199</f>
        <v>0</v>
      </c>
      <c r="C199" s="145"/>
      <c r="D199" s="21" t="s">
        <v>344</v>
      </c>
      <c r="E199" s="14"/>
    </row>
    <row r="200" spans="1:5" ht="15.75" thickBot="1" x14ac:dyDescent="0.3">
      <c r="A200" s="11" t="s">
        <v>343</v>
      </c>
      <c r="B200" s="10">
        <f>SUM(B190+B195)</f>
        <v>0</v>
      </c>
    </row>
    <row r="201" spans="1:5" ht="15.75" thickBot="1" x14ac:dyDescent="0.3">
      <c r="A201" s="13" t="s">
        <v>171</v>
      </c>
      <c r="B201" s="24">
        <f>SUM(B202:B204)</f>
        <v>0</v>
      </c>
      <c r="C201" s="32"/>
      <c r="D201" s="142" t="s">
        <v>169</v>
      </c>
    </row>
    <row r="202" spans="1:5" ht="15.75" thickBot="1" x14ac:dyDescent="0.3">
      <c r="A202" s="12" t="s">
        <v>172</v>
      </c>
      <c r="B202" s="20" cm="1">
        <f t="array" ref="B202">_xlfn.IFS(C202=0,0,C201=0,"Answer C203",C201="Yes",(C202*612.5),C201="No",(C202*662.5))</f>
        <v>0</v>
      </c>
      <c r="C202" s="16"/>
      <c r="D202" s="21" t="s">
        <v>170</v>
      </c>
      <c r="E202" s="20"/>
    </row>
    <row r="203" spans="1:5" ht="15.75" thickBot="1" x14ac:dyDescent="0.3">
      <c r="A203" s="12" t="s">
        <v>155</v>
      </c>
      <c r="B203" s="20" cm="1">
        <f t="array" ref="B203">_xlfn.IFS(C203=0,0,C201=0,"Answer C203",C201="Yes",(C203*962.5),C201="No",(C203*1052.5))</f>
        <v>0</v>
      </c>
      <c r="C203" s="16"/>
      <c r="D203" s="21" t="s">
        <v>170</v>
      </c>
      <c r="E203" s="20"/>
    </row>
    <row r="204" spans="1:5" ht="15.75" thickBot="1" x14ac:dyDescent="0.3">
      <c r="A204" s="12" t="s">
        <v>156</v>
      </c>
      <c r="B204" s="20" cm="1">
        <f t="array" ref="B204">_xlfn.IFS(C204=0,0,C201=0,"Answer C203",C201="Yes",(C204*3662.5),C201="No",(C204*4022.5))</f>
        <v>0</v>
      </c>
      <c r="C204" s="16"/>
      <c r="D204" s="21" t="s">
        <v>170</v>
      </c>
      <c r="E204" s="20"/>
    </row>
    <row r="205" spans="1:5" ht="15.75" x14ac:dyDescent="0.25">
      <c r="A205" s="22" t="s">
        <v>173</v>
      </c>
      <c r="B205" s="23">
        <f>SUM(B151+B189+B200+B201)</f>
        <v>0</v>
      </c>
    </row>
    <row r="206" spans="1:5" ht="21" x14ac:dyDescent="0.35">
      <c r="A206" s="140" t="s">
        <v>174</v>
      </c>
      <c r="B206" s="141">
        <f>SUM(B15+B104+B120+B205)</f>
        <v>0</v>
      </c>
    </row>
  </sheetData>
  <protectedRanges>
    <protectedRange sqref="C5:C12 C125:C150 C19:C23 C28:C43 C45:C49 C64:C79 C153:C188 C25:C26 C61:C62 C81:C85 C106:C119 C196:C199 C191:C194 C201:C204 C52:C59 C88:C101 B14" name="Units"/>
  </protectedRanges>
  <mergeCells count="4">
    <mergeCell ref="E143:E148"/>
    <mergeCell ref="D122:D123"/>
    <mergeCell ref="B194:C194"/>
    <mergeCell ref="D14:D16"/>
  </mergeCells>
  <conditionalFormatting sqref="C171">
    <cfRule type="expression" dxfId="1" priority="1">
      <formula>C170="No"</formula>
    </cfRule>
  </conditionalFormatting>
  <conditionalFormatting sqref="D171">
    <cfRule type="expression" dxfId="0" priority="2">
      <formula>C170="No"</formula>
    </cfRule>
  </conditionalFormatting>
  <dataValidations count="1">
    <dataValidation type="list" allowBlank="1" showInputMessage="1" showErrorMessage="1" sqref="C153 C170:C171 C201 C125 C142" xr:uid="{FC2AF13F-A961-4367-9A10-83BF9AB85AF0}">
      <formula1>"Yes, No"</formula1>
    </dataValidation>
  </dataValidations>
  <hyperlinks>
    <hyperlink ref="D14:D16" r:id="rId1" display="*if granted (rate per square foot equal to 1.1 times the most recent annual TDOT Statewide Average Unit Price for 4” concrete sidewalk (Item Number 701-01.01) for the required sidewalk width along the distance of the street frontage that would have otherwise required sidewalk construction)" xr:uid="{A555FA55-7E6A-4C02-BEF9-163206C583BE}"/>
  </hyperlinks>
  <pageMargins left="0.7" right="0.7" top="0.75" bottom="0.75" header="0.3" footer="0.3"/>
  <pageSetup orientation="portrait" horizontalDpi="300" verticalDpi="300" r:id="rId2"/>
  <ignoredErrors>
    <ignoredError sqref="B114" formula="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AE84E-3392-4977-970E-34ECDD4FBB98}">
  <sheetPr>
    <tabColor theme="9" tint="0.79998168889431442"/>
  </sheetPr>
  <dimension ref="A1:F175"/>
  <sheetViews>
    <sheetView topLeftCell="A9" workbookViewId="0">
      <selection activeCell="C168" sqref="C168:C169"/>
    </sheetView>
  </sheetViews>
  <sheetFormatPr defaultRowHeight="15" x14ac:dyDescent="0.25"/>
  <cols>
    <col min="1" max="1" width="22.42578125" customWidth="1"/>
    <col min="2" max="2" width="32.140625" customWidth="1"/>
    <col min="3" max="3" width="12.7109375" customWidth="1"/>
    <col min="4" max="4" width="10.7109375" customWidth="1"/>
    <col min="5" max="5" width="11.28515625" customWidth="1"/>
    <col min="6" max="6" width="13" customWidth="1"/>
  </cols>
  <sheetData>
    <row r="1" spans="1:6" ht="18.75" x14ac:dyDescent="0.3">
      <c r="A1" s="155" t="s">
        <v>175</v>
      </c>
      <c r="B1" s="156"/>
      <c r="C1" s="156"/>
      <c r="D1" s="156"/>
      <c r="E1" s="156"/>
      <c r="F1" s="157"/>
    </row>
    <row r="2" spans="1:6" ht="15.75" thickBot="1" x14ac:dyDescent="0.3">
      <c r="A2" s="158" t="s">
        <v>176</v>
      </c>
      <c r="B2" s="159"/>
      <c r="C2" s="159"/>
      <c r="D2" s="160"/>
      <c r="E2" s="159"/>
      <c r="F2" s="161"/>
    </row>
    <row r="3" spans="1:6" ht="15.75" thickBot="1" x14ac:dyDescent="0.3">
      <c r="A3" s="34" t="s">
        <v>177</v>
      </c>
      <c r="B3" s="153"/>
      <c r="C3" s="153"/>
      <c r="D3" s="35" t="s">
        <v>178</v>
      </c>
      <c r="E3" s="153"/>
      <c r="F3" s="154"/>
    </row>
    <row r="4" spans="1:6" ht="15.75" thickBot="1" x14ac:dyDescent="0.3">
      <c r="A4" s="36" t="s">
        <v>179</v>
      </c>
      <c r="B4" s="153"/>
      <c r="C4" s="153"/>
      <c r="D4" s="35" t="s">
        <v>180</v>
      </c>
      <c r="E4" s="153"/>
      <c r="F4" s="154"/>
    </row>
    <row r="5" spans="1:6" ht="15.75" thickBot="1" x14ac:dyDescent="0.3">
      <c r="A5" s="36" t="s">
        <v>181</v>
      </c>
      <c r="B5" s="153"/>
      <c r="C5" s="153"/>
      <c r="D5" s="35" t="s">
        <v>182</v>
      </c>
      <c r="E5" s="153"/>
      <c r="F5" s="154"/>
    </row>
    <row r="6" spans="1:6" ht="15.75" thickBot="1" x14ac:dyDescent="0.3">
      <c r="A6" s="36" t="s">
        <v>183</v>
      </c>
      <c r="B6" s="153"/>
      <c r="C6" s="153"/>
      <c r="D6" s="35" t="s">
        <v>184</v>
      </c>
      <c r="E6" s="153"/>
      <c r="F6" s="154"/>
    </row>
    <row r="7" spans="1:6" ht="15.75" thickBot="1" x14ac:dyDescent="0.3">
      <c r="A7" s="36"/>
      <c r="B7" s="37"/>
      <c r="C7" s="35"/>
      <c r="D7" s="35"/>
      <c r="E7" s="153"/>
      <c r="F7" s="154"/>
    </row>
    <row r="8" spans="1:6" ht="15.75" thickBot="1" x14ac:dyDescent="0.3">
      <c r="A8" s="36" t="s">
        <v>185</v>
      </c>
      <c r="B8" s="115"/>
      <c r="C8" s="35"/>
      <c r="D8" s="35" t="s">
        <v>186</v>
      </c>
      <c r="E8" s="153"/>
      <c r="F8" s="154"/>
    </row>
    <row r="9" spans="1:6" ht="15.75" thickBot="1" x14ac:dyDescent="0.3">
      <c r="A9" s="36"/>
      <c r="B9" s="37"/>
      <c r="C9" s="35"/>
      <c r="D9" s="35" t="s">
        <v>187</v>
      </c>
      <c r="E9" s="153"/>
      <c r="F9" s="154"/>
    </row>
    <row r="10" spans="1:6" ht="15.75" thickBot="1" x14ac:dyDescent="0.3">
      <c r="A10" s="38"/>
      <c r="B10" s="39"/>
      <c r="C10" s="40"/>
      <c r="D10" s="40"/>
      <c r="E10" s="40"/>
      <c r="F10" s="41"/>
    </row>
    <row r="11" spans="1:6" x14ac:dyDescent="0.25">
      <c r="A11" s="165" t="s">
        <v>188</v>
      </c>
      <c r="B11" s="166"/>
      <c r="C11" s="167"/>
      <c r="D11" s="167"/>
      <c r="E11" s="167"/>
      <c r="F11" s="168"/>
    </row>
    <row r="12" spans="1:6" ht="15.75" thickBot="1" x14ac:dyDescent="0.3">
      <c r="A12" s="169" t="s">
        <v>189</v>
      </c>
      <c r="B12" s="170"/>
      <c r="C12" s="170"/>
      <c r="D12" s="170"/>
      <c r="E12" s="170"/>
      <c r="F12" s="171"/>
    </row>
    <row r="13" spans="1:6" x14ac:dyDescent="0.25">
      <c r="A13" s="42" t="s">
        <v>190</v>
      </c>
      <c r="B13" s="43"/>
      <c r="C13" s="42" t="s">
        <v>191</v>
      </c>
      <c r="D13" s="172"/>
      <c r="E13" s="172"/>
      <c r="F13" s="172"/>
    </row>
    <row r="14" spans="1:6" ht="15.75" thickBot="1" x14ac:dyDescent="0.3">
      <c r="A14" s="44"/>
      <c r="B14" s="44"/>
      <c r="C14" s="44"/>
      <c r="D14" s="44"/>
      <c r="E14" s="44"/>
      <c r="F14" s="44"/>
    </row>
    <row r="15" spans="1:6" x14ac:dyDescent="0.25">
      <c r="A15" s="173" t="s">
        <v>192</v>
      </c>
      <c r="B15" s="174"/>
      <c r="C15" s="174"/>
      <c r="D15" s="174"/>
      <c r="E15" s="174"/>
      <c r="F15" s="175"/>
    </row>
    <row r="16" spans="1:6" ht="15.75" thickBot="1" x14ac:dyDescent="0.3">
      <c r="A16" s="176"/>
      <c r="B16" s="177"/>
      <c r="C16" s="177"/>
      <c r="D16" s="177"/>
      <c r="E16" s="177"/>
      <c r="F16" s="178"/>
    </row>
    <row r="17" spans="1:6" x14ac:dyDescent="0.25">
      <c r="A17" s="45">
        <f>COUNTIF(C20:C25,"&gt;0")</f>
        <v>0</v>
      </c>
      <c r="B17" s="45" t="e">
        <f>(B6*7000)/A17</f>
        <v>#DIV/0!</v>
      </c>
      <c r="C17" s="45"/>
      <c r="D17" s="45"/>
      <c r="E17" s="45"/>
      <c r="F17" s="45"/>
    </row>
    <row r="18" spans="1:6" ht="15.75" thickBot="1" x14ac:dyDescent="0.3">
      <c r="A18" s="46"/>
      <c r="B18" s="46"/>
      <c r="C18" s="46"/>
      <c r="D18" s="46"/>
      <c r="E18" s="46"/>
      <c r="F18" s="46"/>
    </row>
    <row r="19" spans="1:6" x14ac:dyDescent="0.25">
      <c r="A19" s="47" t="s">
        <v>193</v>
      </c>
      <c r="B19" s="48"/>
      <c r="C19" s="49" t="s">
        <v>194</v>
      </c>
      <c r="D19" s="49" t="s">
        <v>195</v>
      </c>
      <c r="E19" s="49" t="s">
        <v>196</v>
      </c>
      <c r="F19" s="50" t="s">
        <v>174</v>
      </c>
    </row>
    <row r="20" spans="1:6" x14ac:dyDescent="0.25">
      <c r="A20" s="51" t="s">
        <v>197</v>
      </c>
      <c r="B20" s="52"/>
      <c r="C20" s="53">
        <f>F54</f>
        <v>0</v>
      </c>
      <c r="D20" s="53">
        <f>0.1*C20</f>
        <v>0</v>
      </c>
      <c r="E20" s="53">
        <f>IF(C20&gt;0,B17,0)</f>
        <v>0</v>
      </c>
      <c r="F20" s="54">
        <f>C20+D20+E20</f>
        <v>0</v>
      </c>
    </row>
    <row r="21" spans="1:6" x14ac:dyDescent="0.25">
      <c r="A21" s="51" t="s">
        <v>198</v>
      </c>
      <c r="B21" s="52"/>
      <c r="C21" s="53">
        <f>F76</f>
        <v>0</v>
      </c>
      <c r="D21" s="53">
        <f t="shared" ref="D21:D25" si="0">0.1*C21</f>
        <v>0</v>
      </c>
      <c r="E21" s="53">
        <f>IF(C21&gt;0,B17,0)</f>
        <v>0</v>
      </c>
      <c r="F21" s="54">
        <f t="shared" ref="F21:F25" si="1">C21+D21+E21</f>
        <v>0</v>
      </c>
    </row>
    <row r="22" spans="1:6" x14ac:dyDescent="0.25">
      <c r="A22" s="51" t="s">
        <v>199</v>
      </c>
      <c r="B22" s="52"/>
      <c r="C22" s="53">
        <f>F87+F95+F121+F139+F145</f>
        <v>0</v>
      </c>
      <c r="D22" s="53">
        <f t="shared" si="0"/>
        <v>0</v>
      </c>
      <c r="E22" s="53">
        <f>IF(C22&gt;0,B17,0)</f>
        <v>0</v>
      </c>
      <c r="F22" s="54">
        <f t="shared" si="1"/>
        <v>0</v>
      </c>
    </row>
    <row r="23" spans="1:6" x14ac:dyDescent="0.25">
      <c r="A23" s="51" t="s">
        <v>200</v>
      </c>
      <c r="B23" s="52"/>
      <c r="C23" s="53">
        <f>F155</f>
        <v>0</v>
      </c>
      <c r="D23" s="53">
        <f t="shared" si="0"/>
        <v>0</v>
      </c>
      <c r="E23" s="53">
        <f>IF(C23&gt;0,B17,0)</f>
        <v>0</v>
      </c>
      <c r="F23" s="54">
        <f t="shared" si="1"/>
        <v>0</v>
      </c>
    </row>
    <row r="24" spans="1:6" x14ac:dyDescent="0.25">
      <c r="A24" s="51" t="s">
        <v>201</v>
      </c>
      <c r="B24" s="52"/>
      <c r="C24" s="53">
        <f>F163</f>
        <v>0</v>
      </c>
      <c r="D24" s="53">
        <f t="shared" si="0"/>
        <v>0</v>
      </c>
      <c r="E24" s="53">
        <f>IF(C24&gt;0,B17,0)</f>
        <v>0</v>
      </c>
      <c r="F24" s="54">
        <f t="shared" si="1"/>
        <v>0</v>
      </c>
    </row>
    <row r="25" spans="1:6" x14ac:dyDescent="0.25">
      <c r="A25" s="51" t="s">
        <v>202</v>
      </c>
      <c r="B25" s="52"/>
      <c r="C25" s="53">
        <f>F174</f>
        <v>0</v>
      </c>
      <c r="D25" s="53">
        <f t="shared" si="0"/>
        <v>0</v>
      </c>
      <c r="E25" s="53">
        <f>IF(C25&gt;0,B17,0)</f>
        <v>0</v>
      </c>
      <c r="F25" s="54">
        <f t="shared" si="1"/>
        <v>0</v>
      </c>
    </row>
    <row r="26" spans="1:6" x14ac:dyDescent="0.25">
      <c r="A26" s="51"/>
      <c r="B26" s="52"/>
      <c r="C26" s="162" t="s">
        <v>203</v>
      </c>
      <c r="D26" s="162"/>
      <c r="E26" s="55">
        <f>SUM(E20:E25)</f>
        <v>0</v>
      </c>
      <c r="F26" s="56"/>
    </row>
    <row r="27" spans="1:6" ht="15.75" thickBot="1" x14ac:dyDescent="0.3">
      <c r="A27" s="57" t="s">
        <v>204</v>
      </c>
      <c r="B27" s="58"/>
      <c r="C27" s="59"/>
      <c r="D27" s="59"/>
      <c r="E27" s="59"/>
      <c r="F27" s="60">
        <f>SUM(F20:F26)</f>
        <v>0</v>
      </c>
    </row>
    <row r="28" spans="1:6" ht="15.75" thickBot="1" x14ac:dyDescent="0.3">
      <c r="A28" s="21"/>
      <c r="B28" s="21"/>
      <c r="C28" s="21"/>
      <c r="D28" s="21"/>
      <c r="E28" s="21"/>
      <c r="F28" s="21"/>
    </row>
    <row r="29" spans="1:6" x14ac:dyDescent="0.25">
      <c r="A29" s="61" t="s">
        <v>205</v>
      </c>
      <c r="B29" s="62"/>
      <c r="C29" s="63" t="s">
        <v>206</v>
      </c>
      <c r="D29" s="63" t="s">
        <v>207</v>
      </c>
      <c r="E29" s="63" t="s">
        <v>208</v>
      </c>
      <c r="F29" s="64" t="s">
        <v>174</v>
      </c>
    </row>
    <row r="30" spans="1:6" x14ac:dyDescent="0.25">
      <c r="A30" s="65" t="s">
        <v>209</v>
      </c>
      <c r="B30" s="118"/>
      <c r="C30" s="119">
        <f>SUM(C44:C49)</f>
        <v>0</v>
      </c>
      <c r="D30" s="120" t="s">
        <v>210</v>
      </c>
      <c r="E30" s="121">
        <v>3.5</v>
      </c>
      <c r="F30" s="66">
        <f>IF(C30=0,0,IF(C30&lt;120.5,500,C30*E30))</f>
        <v>0</v>
      </c>
    </row>
    <row r="31" spans="1:6" x14ac:dyDescent="0.25">
      <c r="A31" s="65" t="s">
        <v>211</v>
      </c>
      <c r="B31" s="118"/>
      <c r="C31" s="119">
        <f>C51</f>
        <v>0</v>
      </c>
      <c r="D31" s="120" t="str">
        <f>D51</f>
        <v>EA</v>
      </c>
      <c r="E31" s="121">
        <f>1000</f>
        <v>1000</v>
      </c>
      <c r="F31" s="66">
        <f>E31*C31</f>
        <v>0</v>
      </c>
    </row>
    <row r="32" spans="1:6" x14ac:dyDescent="0.25">
      <c r="A32" s="65" t="s">
        <v>212</v>
      </c>
      <c r="B32" s="118"/>
      <c r="C32" s="119">
        <f>C162</f>
        <v>0</v>
      </c>
      <c r="D32" s="120" t="str">
        <f>D162</f>
        <v>EA</v>
      </c>
      <c r="E32" s="121">
        <v>40</v>
      </c>
      <c r="F32" s="66">
        <f t="shared" ref="F32:F34" si="2">E32*C32</f>
        <v>0</v>
      </c>
    </row>
    <row r="33" spans="1:6" x14ac:dyDescent="0.25">
      <c r="A33" s="65" t="s">
        <v>213</v>
      </c>
      <c r="B33" s="118"/>
      <c r="C33" s="119">
        <f>C52</f>
        <v>0</v>
      </c>
      <c r="D33" s="120" t="str">
        <f>D52</f>
        <v>EA</v>
      </c>
      <c r="E33" s="121">
        <v>150</v>
      </c>
      <c r="F33" s="66">
        <f t="shared" si="2"/>
        <v>0</v>
      </c>
    </row>
    <row r="34" spans="1:6" x14ac:dyDescent="0.25">
      <c r="A34" s="65" t="s">
        <v>214</v>
      </c>
      <c r="B34" s="118"/>
      <c r="C34" s="119">
        <f>C53</f>
        <v>0</v>
      </c>
      <c r="D34" s="120" t="str">
        <f>D53</f>
        <v>EA</v>
      </c>
      <c r="E34" s="121">
        <f>75</f>
        <v>75</v>
      </c>
      <c r="F34" s="66">
        <f t="shared" si="2"/>
        <v>0</v>
      </c>
    </row>
    <row r="35" spans="1:6" x14ac:dyDescent="0.25">
      <c r="A35" s="65" t="s">
        <v>215</v>
      </c>
      <c r="B35" s="118"/>
      <c r="C35" s="119">
        <f>SUM(C58:C64)</f>
        <v>0</v>
      </c>
      <c r="D35" s="120" t="s">
        <v>210</v>
      </c>
      <c r="E35" s="121">
        <v>4.1500000000000004</v>
      </c>
      <c r="F35" s="66">
        <f>IF(C35=0,0,IF(C35&lt;240,1000,C35*E35))</f>
        <v>0</v>
      </c>
    </row>
    <row r="36" spans="1:6" x14ac:dyDescent="0.25">
      <c r="A36" s="65" t="s">
        <v>216</v>
      </c>
      <c r="B36" s="118"/>
      <c r="C36" s="119">
        <f>SUM(C65:C66)</f>
        <v>0</v>
      </c>
      <c r="D36" s="120" t="str">
        <f>D65</f>
        <v>EA</v>
      </c>
      <c r="E36" s="121">
        <v>260</v>
      </c>
      <c r="F36" s="66">
        <f>E36*C36</f>
        <v>0</v>
      </c>
    </row>
    <row r="37" spans="1:6" x14ac:dyDescent="0.25">
      <c r="A37" s="65" t="s">
        <v>217</v>
      </c>
      <c r="B37" s="118"/>
      <c r="C37" s="119">
        <f>SUM(C67:C73)</f>
        <v>0</v>
      </c>
      <c r="D37" s="120" t="s">
        <v>210</v>
      </c>
      <c r="E37" s="121">
        <v>4.1500000000000004</v>
      </c>
      <c r="F37" s="66">
        <f>IF(C37=0,0,IF(C37&lt;120.5,500,C37*E37))</f>
        <v>0</v>
      </c>
    </row>
    <row r="38" spans="1:6" x14ac:dyDescent="0.25">
      <c r="A38" s="65" t="s">
        <v>218</v>
      </c>
      <c r="B38" s="118"/>
      <c r="C38" s="119">
        <f>C75</f>
        <v>0</v>
      </c>
      <c r="D38" s="120" t="str">
        <f>D75</f>
        <v>EA</v>
      </c>
      <c r="E38" s="121">
        <v>400</v>
      </c>
      <c r="F38" s="66">
        <f>E38*C38</f>
        <v>0</v>
      </c>
    </row>
    <row r="39" spans="1:6" x14ac:dyDescent="0.25">
      <c r="A39" s="65" t="s">
        <v>219</v>
      </c>
      <c r="B39" s="118"/>
      <c r="C39" s="119">
        <f>C50+C74+C161+C173</f>
        <v>0</v>
      </c>
      <c r="D39" s="120" t="s">
        <v>220</v>
      </c>
      <c r="E39" s="121">
        <v>400</v>
      </c>
      <c r="F39" s="66">
        <f>E39*C39</f>
        <v>0</v>
      </c>
    </row>
    <row r="40" spans="1:6" ht="15.75" thickBot="1" x14ac:dyDescent="0.3">
      <c r="A40" s="117" t="s">
        <v>221</v>
      </c>
      <c r="B40" s="122"/>
      <c r="C40" s="123"/>
      <c r="D40" s="124"/>
      <c r="E40" s="125"/>
      <c r="F40" s="126">
        <f>SUM(F30:F39)</f>
        <v>0</v>
      </c>
    </row>
    <row r="41" spans="1:6" x14ac:dyDescent="0.25">
      <c r="A41" s="21"/>
      <c r="B41" s="21"/>
      <c r="C41" s="21"/>
      <c r="D41" s="21"/>
      <c r="E41" s="21"/>
      <c r="F41" s="21"/>
    </row>
    <row r="42" spans="1:6" ht="15.75" thickBot="1" x14ac:dyDescent="0.3">
      <c r="A42" s="21"/>
      <c r="B42" s="21"/>
      <c r="C42" s="21"/>
      <c r="D42" s="21"/>
      <c r="E42" s="21"/>
      <c r="F42" s="21"/>
    </row>
    <row r="43" spans="1:6" ht="15.75" thickBot="1" x14ac:dyDescent="0.3">
      <c r="A43" s="67" t="s">
        <v>197</v>
      </c>
      <c r="B43" s="68"/>
      <c r="C43" s="69" t="s">
        <v>206</v>
      </c>
      <c r="D43" s="69" t="s">
        <v>207</v>
      </c>
      <c r="E43" s="69" t="s">
        <v>208</v>
      </c>
      <c r="F43" s="70" t="s">
        <v>174</v>
      </c>
    </row>
    <row r="44" spans="1:6" ht="15.75" thickBot="1" x14ac:dyDescent="0.3">
      <c r="A44" s="163" t="s">
        <v>222</v>
      </c>
      <c r="B44" s="164"/>
      <c r="C44" s="71"/>
      <c r="D44" s="72" t="s">
        <v>210</v>
      </c>
      <c r="E44" s="73">
        <v>65</v>
      </c>
      <c r="F44" s="73">
        <f>E44*C44</f>
        <v>0</v>
      </c>
    </row>
    <row r="45" spans="1:6" ht="15.75" thickBot="1" x14ac:dyDescent="0.3">
      <c r="A45" s="163" t="s">
        <v>223</v>
      </c>
      <c r="B45" s="164"/>
      <c r="C45" s="71"/>
      <c r="D45" s="72" t="s">
        <v>210</v>
      </c>
      <c r="E45" s="73">
        <v>70</v>
      </c>
      <c r="F45" s="73">
        <f t="shared" ref="F45:F51" si="3">E45*C45</f>
        <v>0</v>
      </c>
    </row>
    <row r="46" spans="1:6" ht="15.75" thickBot="1" x14ac:dyDescent="0.3">
      <c r="A46" s="163" t="s">
        <v>224</v>
      </c>
      <c r="B46" s="164"/>
      <c r="C46" s="71"/>
      <c r="D46" s="72" t="s">
        <v>210</v>
      </c>
      <c r="E46" s="73">
        <v>105</v>
      </c>
      <c r="F46" s="73">
        <f t="shared" si="3"/>
        <v>0</v>
      </c>
    </row>
    <row r="47" spans="1:6" ht="15.75" thickBot="1" x14ac:dyDescent="0.3">
      <c r="A47" s="163" t="s">
        <v>225</v>
      </c>
      <c r="B47" s="164"/>
      <c r="C47" s="71"/>
      <c r="D47" s="72" t="s">
        <v>210</v>
      </c>
      <c r="E47" s="73">
        <v>100</v>
      </c>
      <c r="F47" s="73">
        <f t="shared" si="3"/>
        <v>0</v>
      </c>
    </row>
    <row r="48" spans="1:6" ht="15.75" thickBot="1" x14ac:dyDescent="0.3">
      <c r="A48" s="163" t="s">
        <v>226</v>
      </c>
      <c r="B48" s="164"/>
      <c r="C48" s="71"/>
      <c r="D48" s="72" t="s">
        <v>210</v>
      </c>
      <c r="E48" s="73">
        <v>110</v>
      </c>
      <c r="F48" s="73">
        <f t="shared" si="3"/>
        <v>0</v>
      </c>
    </row>
    <row r="49" spans="1:6" ht="15.75" thickBot="1" x14ac:dyDescent="0.3">
      <c r="A49" s="163" t="s">
        <v>227</v>
      </c>
      <c r="B49" s="164"/>
      <c r="C49" s="71"/>
      <c r="D49" s="72" t="s">
        <v>210</v>
      </c>
      <c r="E49" s="73">
        <v>140</v>
      </c>
      <c r="F49" s="73">
        <f t="shared" si="3"/>
        <v>0</v>
      </c>
    </row>
    <row r="50" spans="1:6" ht="15.75" thickBot="1" x14ac:dyDescent="0.3">
      <c r="A50" s="74" t="s">
        <v>228</v>
      </c>
      <c r="B50" s="74"/>
      <c r="C50" s="71"/>
      <c r="D50" s="72" t="s">
        <v>229</v>
      </c>
      <c r="E50" s="75"/>
      <c r="F50" s="73">
        <f t="shared" si="3"/>
        <v>0</v>
      </c>
    </row>
    <row r="51" spans="1:6" ht="15.75" thickBot="1" x14ac:dyDescent="0.3">
      <c r="A51" s="163" t="s">
        <v>230</v>
      </c>
      <c r="B51" s="164"/>
      <c r="C51" s="71"/>
      <c r="D51" s="72" t="s">
        <v>220</v>
      </c>
      <c r="E51" s="73">
        <v>4000</v>
      </c>
      <c r="F51" s="73">
        <f t="shared" si="3"/>
        <v>0</v>
      </c>
    </row>
    <row r="52" spans="1:6" ht="15.75" thickBot="1" x14ac:dyDescent="0.3">
      <c r="A52" s="163" t="s">
        <v>231</v>
      </c>
      <c r="B52" s="164"/>
      <c r="C52" s="71"/>
      <c r="D52" s="72" t="s">
        <v>220</v>
      </c>
      <c r="E52" s="183"/>
      <c r="F52" s="184"/>
    </row>
    <row r="53" spans="1:6" ht="15.75" thickBot="1" x14ac:dyDescent="0.3">
      <c r="A53" s="163" t="s">
        <v>232</v>
      </c>
      <c r="B53" s="164"/>
      <c r="C53" s="71"/>
      <c r="D53" s="72" t="s">
        <v>220</v>
      </c>
      <c r="E53" s="183"/>
      <c r="F53" s="184"/>
    </row>
    <row r="54" spans="1:6" x14ac:dyDescent="0.25">
      <c r="A54" s="76" t="s">
        <v>233</v>
      </c>
      <c r="B54" s="77"/>
      <c r="C54" s="78"/>
      <c r="D54" s="78"/>
      <c r="E54" s="179" t="s">
        <v>234</v>
      </c>
      <c r="F54" s="181">
        <f>SUM(F44:F51)</f>
        <v>0</v>
      </c>
    </row>
    <row r="55" spans="1:6" ht="15.75" thickBot="1" x14ac:dyDescent="0.3">
      <c r="A55" s="79" t="s">
        <v>235</v>
      </c>
      <c r="B55" s="80"/>
      <c r="C55" s="81"/>
      <c r="D55" s="81"/>
      <c r="E55" s="180"/>
      <c r="F55" s="182"/>
    </row>
    <row r="56" spans="1:6" ht="15.75" thickBot="1" x14ac:dyDescent="0.3">
      <c r="A56" s="21"/>
      <c r="B56" s="21"/>
      <c r="C56" s="21"/>
      <c r="D56" s="21"/>
      <c r="E56" s="21"/>
      <c r="F56" s="21"/>
    </row>
    <row r="57" spans="1:6" ht="15.75" thickBot="1" x14ac:dyDescent="0.3">
      <c r="A57" s="67" t="s">
        <v>198</v>
      </c>
      <c r="B57" s="68"/>
      <c r="C57" s="69" t="s">
        <v>206</v>
      </c>
      <c r="D57" s="69" t="s">
        <v>207</v>
      </c>
      <c r="E57" s="69" t="s">
        <v>208</v>
      </c>
      <c r="F57" s="70" t="s">
        <v>174</v>
      </c>
    </row>
    <row r="58" spans="1:6" ht="15.75" thickBot="1" x14ac:dyDescent="0.3">
      <c r="A58" s="163" t="s">
        <v>223</v>
      </c>
      <c r="B58" s="164"/>
      <c r="C58" s="71"/>
      <c r="D58" s="72" t="s">
        <v>210</v>
      </c>
      <c r="E58" s="73">
        <v>110</v>
      </c>
      <c r="F58" s="73">
        <f>E58*C58</f>
        <v>0</v>
      </c>
    </row>
    <row r="59" spans="1:6" ht="15.75" thickBot="1" x14ac:dyDescent="0.3">
      <c r="A59" s="163" t="s">
        <v>224</v>
      </c>
      <c r="B59" s="164"/>
      <c r="C59" s="71"/>
      <c r="D59" s="72" t="s">
        <v>210</v>
      </c>
      <c r="E59" s="73">
        <v>130</v>
      </c>
      <c r="F59" s="73">
        <f t="shared" ref="F59:F74" si="4">E59*C59</f>
        <v>0</v>
      </c>
    </row>
    <row r="60" spans="1:6" ht="15.75" thickBot="1" x14ac:dyDescent="0.3">
      <c r="A60" s="163" t="s">
        <v>225</v>
      </c>
      <c r="B60" s="164"/>
      <c r="C60" s="71"/>
      <c r="D60" s="72" t="s">
        <v>210</v>
      </c>
      <c r="E60" s="73">
        <v>155</v>
      </c>
      <c r="F60" s="73">
        <f t="shared" si="4"/>
        <v>0</v>
      </c>
    </row>
    <row r="61" spans="1:6" ht="15.75" thickBot="1" x14ac:dyDescent="0.3">
      <c r="A61" s="163" t="s">
        <v>236</v>
      </c>
      <c r="B61" s="164"/>
      <c r="C61" s="71"/>
      <c r="D61" s="72" t="s">
        <v>210</v>
      </c>
      <c r="E61" s="73">
        <v>175</v>
      </c>
      <c r="F61" s="73">
        <f t="shared" si="4"/>
        <v>0</v>
      </c>
    </row>
    <row r="62" spans="1:6" ht="15.75" thickBot="1" x14ac:dyDescent="0.3">
      <c r="A62" s="163" t="s">
        <v>237</v>
      </c>
      <c r="B62" s="164"/>
      <c r="C62" s="71"/>
      <c r="D62" s="72" t="s">
        <v>210</v>
      </c>
      <c r="E62" s="73">
        <v>190</v>
      </c>
      <c r="F62" s="73">
        <f t="shared" si="4"/>
        <v>0</v>
      </c>
    </row>
    <row r="63" spans="1:6" ht="15.75" thickBot="1" x14ac:dyDescent="0.3">
      <c r="A63" s="163" t="s">
        <v>227</v>
      </c>
      <c r="B63" s="164"/>
      <c r="C63" s="71"/>
      <c r="D63" s="72" t="s">
        <v>210</v>
      </c>
      <c r="E63" s="73">
        <v>250</v>
      </c>
      <c r="F63" s="73">
        <f t="shared" si="4"/>
        <v>0</v>
      </c>
    </row>
    <row r="64" spans="1:6" ht="15.75" thickBot="1" x14ac:dyDescent="0.3">
      <c r="A64" s="163" t="s">
        <v>238</v>
      </c>
      <c r="B64" s="164"/>
      <c r="C64" s="71"/>
      <c r="D64" s="72" t="s">
        <v>210</v>
      </c>
      <c r="E64" s="73">
        <v>270</v>
      </c>
      <c r="F64" s="73">
        <f t="shared" si="4"/>
        <v>0</v>
      </c>
    </row>
    <row r="65" spans="1:6" ht="15.75" thickBot="1" x14ac:dyDescent="0.3">
      <c r="A65" s="163" t="s">
        <v>239</v>
      </c>
      <c r="B65" s="164"/>
      <c r="C65" s="71"/>
      <c r="D65" s="72" t="s">
        <v>220</v>
      </c>
      <c r="E65" s="73">
        <v>3500</v>
      </c>
      <c r="F65" s="73">
        <f t="shared" si="4"/>
        <v>0</v>
      </c>
    </row>
    <row r="66" spans="1:6" ht="15.75" thickBot="1" x14ac:dyDescent="0.3">
      <c r="A66" s="163" t="s">
        <v>240</v>
      </c>
      <c r="B66" s="164"/>
      <c r="C66" s="71"/>
      <c r="D66" s="72" t="s">
        <v>220</v>
      </c>
      <c r="E66" s="73">
        <v>4200</v>
      </c>
      <c r="F66" s="73">
        <f t="shared" si="4"/>
        <v>0</v>
      </c>
    </row>
    <row r="67" spans="1:6" ht="15.75" thickBot="1" x14ac:dyDescent="0.3">
      <c r="A67" s="163" t="s">
        <v>241</v>
      </c>
      <c r="B67" s="164"/>
      <c r="C67" s="71"/>
      <c r="D67" s="72" t="s">
        <v>210</v>
      </c>
      <c r="E67" s="73">
        <v>60</v>
      </c>
      <c r="F67" s="73">
        <f t="shared" si="4"/>
        <v>0</v>
      </c>
    </row>
    <row r="68" spans="1:6" ht="15.75" thickBot="1" x14ac:dyDescent="0.3">
      <c r="A68" s="163" t="s">
        <v>242</v>
      </c>
      <c r="B68" s="164"/>
      <c r="C68" s="71"/>
      <c r="D68" s="72" t="s">
        <v>210</v>
      </c>
      <c r="E68" s="73">
        <v>65</v>
      </c>
      <c r="F68" s="73">
        <f t="shared" si="4"/>
        <v>0</v>
      </c>
    </row>
    <row r="69" spans="1:6" ht="15.75" thickBot="1" x14ac:dyDescent="0.3">
      <c r="A69" s="163" t="s">
        <v>243</v>
      </c>
      <c r="B69" s="164"/>
      <c r="C69" s="71"/>
      <c r="D69" s="72" t="s">
        <v>210</v>
      </c>
      <c r="E69" s="73">
        <v>70</v>
      </c>
      <c r="F69" s="73">
        <f t="shared" si="4"/>
        <v>0</v>
      </c>
    </row>
    <row r="70" spans="1:6" ht="15.75" thickBot="1" x14ac:dyDescent="0.3">
      <c r="A70" s="163" t="s">
        <v>244</v>
      </c>
      <c r="B70" s="164"/>
      <c r="C70" s="71"/>
      <c r="D70" s="72" t="s">
        <v>210</v>
      </c>
      <c r="E70" s="73">
        <v>105</v>
      </c>
      <c r="F70" s="73">
        <f t="shared" si="4"/>
        <v>0</v>
      </c>
    </row>
    <row r="71" spans="1:6" ht="15.75" thickBot="1" x14ac:dyDescent="0.3">
      <c r="A71" s="163" t="s">
        <v>245</v>
      </c>
      <c r="B71" s="164"/>
      <c r="C71" s="71"/>
      <c r="D71" s="72" t="s">
        <v>210</v>
      </c>
      <c r="E71" s="73">
        <v>100</v>
      </c>
      <c r="F71" s="73">
        <f t="shared" si="4"/>
        <v>0</v>
      </c>
    </row>
    <row r="72" spans="1:6" ht="15.75" thickBot="1" x14ac:dyDescent="0.3">
      <c r="A72" s="163" t="s">
        <v>246</v>
      </c>
      <c r="B72" s="164"/>
      <c r="C72" s="71"/>
      <c r="D72" s="72" t="s">
        <v>210</v>
      </c>
      <c r="E72" s="73">
        <v>110</v>
      </c>
      <c r="F72" s="73">
        <f t="shared" si="4"/>
        <v>0</v>
      </c>
    </row>
    <row r="73" spans="1:6" ht="15.75" thickBot="1" x14ac:dyDescent="0.3">
      <c r="A73" s="163" t="s">
        <v>247</v>
      </c>
      <c r="B73" s="164"/>
      <c r="C73" s="71"/>
      <c r="D73" s="72" t="s">
        <v>210</v>
      </c>
      <c r="E73" s="73">
        <v>140</v>
      </c>
      <c r="F73" s="73">
        <f t="shared" si="4"/>
        <v>0</v>
      </c>
    </row>
    <row r="74" spans="1:6" ht="15.75" thickBot="1" x14ac:dyDescent="0.3">
      <c r="A74" s="74" t="s">
        <v>248</v>
      </c>
      <c r="B74" s="74"/>
      <c r="C74" s="71"/>
      <c r="D74" s="72" t="s">
        <v>229</v>
      </c>
      <c r="E74" s="75"/>
      <c r="F74" s="73">
        <f t="shared" si="4"/>
        <v>0</v>
      </c>
    </row>
    <row r="75" spans="1:6" ht="15.75" thickBot="1" x14ac:dyDescent="0.3">
      <c r="A75" s="163" t="s">
        <v>249</v>
      </c>
      <c r="B75" s="164"/>
      <c r="C75" s="71"/>
      <c r="D75" s="72" t="s">
        <v>220</v>
      </c>
      <c r="E75" s="183"/>
      <c r="F75" s="184"/>
    </row>
    <row r="76" spans="1:6" x14ac:dyDescent="0.25">
      <c r="A76" s="76" t="s">
        <v>250</v>
      </c>
      <c r="B76" s="77"/>
      <c r="C76" s="78"/>
      <c r="D76" s="78"/>
      <c r="E76" s="179" t="s">
        <v>251</v>
      </c>
      <c r="F76" s="181">
        <f>SUM(F58:F74)</f>
        <v>0</v>
      </c>
    </row>
    <row r="77" spans="1:6" ht="15.75" thickBot="1" x14ac:dyDescent="0.3">
      <c r="A77" s="79" t="s">
        <v>235</v>
      </c>
      <c r="B77" s="80"/>
      <c r="C77" s="81"/>
      <c r="D77" s="81"/>
      <c r="E77" s="180"/>
      <c r="F77" s="182"/>
    </row>
    <row r="78" spans="1:6" ht="15.75" thickBot="1" x14ac:dyDescent="0.3">
      <c r="A78" s="67" t="s">
        <v>252</v>
      </c>
      <c r="B78" s="68"/>
      <c r="C78" s="69" t="s">
        <v>206</v>
      </c>
      <c r="D78" s="69" t="s">
        <v>207</v>
      </c>
      <c r="E78" s="69" t="s">
        <v>208</v>
      </c>
      <c r="F78" s="70" t="s">
        <v>174</v>
      </c>
    </row>
    <row r="79" spans="1:6" ht="15.75" thickBot="1" x14ac:dyDescent="0.3">
      <c r="A79" s="163" t="s">
        <v>253</v>
      </c>
      <c r="B79" s="164"/>
      <c r="C79" s="71"/>
      <c r="D79" s="72" t="s">
        <v>254</v>
      </c>
      <c r="E79" s="73">
        <v>60</v>
      </c>
      <c r="F79" s="73">
        <f>E79*C79</f>
        <v>0</v>
      </c>
    </row>
    <row r="80" spans="1:6" ht="15.75" thickBot="1" x14ac:dyDescent="0.3">
      <c r="A80" s="163" t="s">
        <v>255</v>
      </c>
      <c r="B80" s="164"/>
      <c r="C80" s="71"/>
      <c r="D80" s="72" t="s">
        <v>254</v>
      </c>
      <c r="E80" s="73">
        <v>65</v>
      </c>
      <c r="F80" s="73">
        <f t="shared" ref="F80:F85" si="5">E80*C80</f>
        <v>0</v>
      </c>
    </row>
    <row r="81" spans="1:6" ht="15.75" thickBot="1" x14ac:dyDescent="0.3">
      <c r="A81" s="163" t="s">
        <v>256</v>
      </c>
      <c r="B81" s="164"/>
      <c r="C81" s="71"/>
      <c r="D81" s="72" t="s">
        <v>254</v>
      </c>
      <c r="E81" s="73">
        <v>95</v>
      </c>
      <c r="F81" s="73">
        <f t="shared" si="5"/>
        <v>0</v>
      </c>
    </row>
    <row r="82" spans="1:6" ht="15.75" thickBot="1" x14ac:dyDescent="0.3">
      <c r="A82" s="163" t="s">
        <v>257</v>
      </c>
      <c r="B82" s="164"/>
      <c r="C82" s="71"/>
      <c r="D82" s="72" t="s">
        <v>210</v>
      </c>
      <c r="E82" s="82">
        <v>13</v>
      </c>
      <c r="F82" s="73">
        <f t="shared" si="5"/>
        <v>0</v>
      </c>
    </row>
    <row r="83" spans="1:6" ht="15.75" thickBot="1" x14ac:dyDescent="0.3">
      <c r="A83" s="163" t="s">
        <v>258</v>
      </c>
      <c r="B83" s="164"/>
      <c r="C83" s="71"/>
      <c r="D83" s="72" t="s">
        <v>210</v>
      </c>
      <c r="E83" s="73">
        <v>15</v>
      </c>
      <c r="F83" s="73">
        <f t="shared" si="5"/>
        <v>0</v>
      </c>
    </row>
    <row r="84" spans="1:6" ht="15.75" thickBot="1" x14ac:dyDescent="0.3">
      <c r="A84" s="163" t="s">
        <v>259</v>
      </c>
      <c r="B84" s="164"/>
      <c r="C84" s="71"/>
      <c r="D84" s="72" t="s">
        <v>220</v>
      </c>
      <c r="E84" s="73">
        <v>10000</v>
      </c>
      <c r="F84" s="73">
        <f t="shared" si="5"/>
        <v>0</v>
      </c>
    </row>
    <row r="85" spans="1:6" ht="15.75" thickBot="1" x14ac:dyDescent="0.3">
      <c r="A85" s="163" t="s">
        <v>260</v>
      </c>
      <c r="B85" s="164"/>
      <c r="C85" s="71"/>
      <c r="D85" s="72" t="s">
        <v>220</v>
      </c>
      <c r="E85" s="73">
        <v>10000</v>
      </c>
      <c r="F85" s="73">
        <f t="shared" si="5"/>
        <v>0</v>
      </c>
    </row>
    <row r="86" spans="1:6" ht="15.75" thickBot="1" x14ac:dyDescent="0.3">
      <c r="A86" s="163" t="s">
        <v>261</v>
      </c>
      <c r="B86" s="164"/>
      <c r="C86" s="83">
        <v>0.05</v>
      </c>
      <c r="D86" s="72" t="s">
        <v>262</v>
      </c>
      <c r="E86" s="73">
        <f>SUM(F79:F85)</f>
        <v>0</v>
      </c>
      <c r="F86" s="73">
        <f>0.05*E86</f>
        <v>0</v>
      </c>
    </row>
    <row r="87" spans="1:6" x14ac:dyDescent="0.25">
      <c r="A87" s="186" t="s">
        <v>263</v>
      </c>
      <c r="B87" s="84"/>
      <c r="C87" s="78"/>
      <c r="D87" s="78"/>
      <c r="E87" s="179" t="s">
        <v>264</v>
      </c>
      <c r="F87" s="181">
        <f>SUM(F79:F86)</f>
        <v>0</v>
      </c>
    </row>
    <row r="88" spans="1:6" ht="15.75" thickBot="1" x14ac:dyDescent="0.3">
      <c r="A88" s="187"/>
      <c r="B88" s="85"/>
      <c r="C88" s="81"/>
      <c r="D88" s="81"/>
      <c r="E88" s="180"/>
      <c r="F88" s="182"/>
    </row>
    <row r="89" spans="1:6" ht="15.75" thickBot="1" x14ac:dyDescent="0.3">
      <c r="A89" s="86"/>
      <c r="B89" s="86"/>
      <c r="C89" s="87"/>
      <c r="D89" s="87"/>
      <c r="E89" s="88"/>
      <c r="F89" s="89"/>
    </row>
    <row r="90" spans="1:6" x14ac:dyDescent="0.25">
      <c r="A90" s="90" t="s">
        <v>265</v>
      </c>
      <c r="B90" s="90"/>
      <c r="C90" s="69" t="s">
        <v>206</v>
      </c>
      <c r="D90" s="69" t="s">
        <v>207</v>
      </c>
      <c r="E90" s="69" t="s">
        <v>208</v>
      </c>
      <c r="F90" s="70" t="s">
        <v>174</v>
      </c>
    </row>
    <row r="91" spans="1:6" x14ac:dyDescent="0.25">
      <c r="A91" s="188" t="s">
        <v>266</v>
      </c>
      <c r="B91" s="189"/>
      <c r="C91" s="91"/>
      <c r="D91" s="92" t="s">
        <v>267</v>
      </c>
      <c r="E91" s="93">
        <v>8</v>
      </c>
      <c r="F91" s="94">
        <f>E91*C91</f>
        <v>0</v>
      </c>
    </row>
    <row r="92" spans="1:6" x14ac:dyDescent="0.25">
      <c r="A92" s="188" t="s">
        <v>268</v>
      </c>
      <c r="B92" s="189"/>
      <c r="C92" s="91"/>
      <c r="D92" s="92" t="s">
        <v>267</v>
      </c>
      <c r="E92" s="94">
        <v>14</v>
      </c>
      <c r="F92" s="94">
        <f t="shared" ref="F92:F94" si="6">E92*C92</f>
        <v>0</v>
      </c>
    </row>
    <row r="93" spans="1:6" x14ac:dyDescent="0.25">
      <c r="A93" s="188" t="s">
        <v>269</v>
      </c>
      <c r="B93" s="189"/>
      <c r="C93" s="91"/>
      <c r="D93" s="92" t="s">
        <v>267</v>
      </c>
      <c r="E93" s="94">
        <v>3</v>
      </c>
      <c r="F93" s="94">
        <f t="shared" si="6"/>
        <v>0</v>
      </c>
    </row>
    <row r="94" spans="1:6" x14ac:dyDescent="0.25">
      <c r="A94" s="188" t="s">
        <v>270</v>
      </c>
      <c r="B94" s="189"/>
      <c r="C94" s="91"/>
      <c r="D94" s="92" t="s">
        <v>220</v>
      </c>
      <c r="E94" s="94">
        <v>900</v>
      </c>
      <c r="F94" s="94">
        <f t="shared" si="6"/>
        <v>0</v>
      </c>
    </row>
    <row r="95" spans="1:6" x14ac:dyDescent="0.25">
      <c r="A95" s="190" t="s">
        <v>271</v>
      </c>
      <c r="B95" s="95"/>
      <c r="C95" s="96"/>
      <c r="D95" s="97"/>
      <c r="E95" s="191" t="s">
        <v>272</v>
      </c>
      <c r="F95" s="185">
        <f>SUM(F91:F94)</f>
        <v>0</v>
      </c>
    </row>
    <row r="96" spans="1:6" ht="15.75" thickBot="1" x14ac:dyDescent="0.3">
      <c r="A96" s="187"/>
      <c r="B96" s="85"/>
      <c r="C96" s="81"/>
      <c r="D96" s="98"/>
      <c r="E96" s="180"/>
      <c r="F96" s="182"/>
    </row>
    <row r="97" spans="1:6" ht="15.75" thickBot="1" x14ac:dyDescent="0.3">
      <c r="A97" s="99"/>
      <c r="B97" s="86"/>
      <c r="C97" s="87"/>
      <c r="D97" s="87"/>
      <c r="E97" s="88"/>
      <c r="F97" s="89"/>
    </row>
    <row r="98" spans="1:6" ht="15.75" thickBot="1" x14ac:dyDescent="0.3">
      <c r="A98" s="67" t="s">
        <v>273</v>
      </c>
      <c r="B98" s="68"/>
      <c r="C98" s="69" t="s">
        <v>206</v>
      </c>
      <c r="D98" s="69" t="s">
        <v>207</v>
      </c>
      <c r="E98" s="69" t="s">
        <v>208</v>
      </c>
      <c r="F98" s="70" t="s">
        <v>174</v>
      </c>
    </row>
    <row r="99" spans="1:6" ht="15.75" thickBot="1" x14ac:dyDescent="0.3">
      <c r="A99" s="163" t="s">
        <v>274</v>
      </c>
      <c r="B99" s="164"/>
      <c r="C99" s="71"/>
      <c r="D99" s="72" t="s">
        <v>210</v>
      </c>
      <c r="E99" s="73">
        <v>40</v>
      </c>
      <c r="F99" s="73">
        <f>E99*C99</f>
        <v>0</v>
      </c>
    </row>
    <row r="100" spans="1:6" ht="15.75" thickBot="1" x14ac:dyDescent="0.3">
      <c r="A100" s="163" t="s">
        <v>275</v>
      </c>
      <c r="B100" s="164"/>
      <c r="C100" s="71"/>
      <c r="D100" s="72" t="s">
        <v>210</v>
      </c>
      <c r="E100" s="73">
        <v>45</v>
      </c>
      <c r="F100" s="73">
        <f t="shared" ref="F100:F114" si="7">E100*C100</f>
        <v>0</v>
      </c>
    </row>
    <row r="101" spans="1:6" ht="15.75" thickBot="1" x14ac:dyDescent="0.3">
      <c r="A101" s="163" t="s">
        <v>276</v>
      </c>
      <c r="B101" s="164"/>
      <c r="C101" s="71"/>
      <c r="D101" s="72" t="s">
        <v>210</v>
      </c>
      <c r="E101" s="73">
        <v>60</v>
      </c>
      <c r="F101" s="73">
        <f t="shared" si="7"/>
        <v>0</v>
      </c>
    </row>
    <row r="102" spans="1:6" ht="15.75" thickBot="1" x14ac:dyDescent="0.3">
      <c r="A102" s="163" t="s">
        <v>277</v>
      </c>
      <c r="B102" s="164"/>
      <c r="C102" s="71"/>
      <c r="D102" s="72" t="s">
        <v>210</v>
      </c>
      <c r="E102" s="73">
        <v>80</v>
      </c>
      <c r="F102" s="73">
        <f t="shared" si="7"/>
        <v>0</v>
      </c>
    </row>
    <row r="103" spans="1:6" ht="15.75" thickBot="1" x14ac:dyDescent="0.3">
      <c r="A103" s="163" t="s">
        <v>278</v>
      </c>
      <c r="B103" s="164"/>
      <c r="C103" s="71"/>
      <c r="D103" s="72" t="s">
        <v>210</v>
      </c>
      <c r="E103" s="73">
        <v>95</v>
      </c>
      <c r="F103" s="73">
        <f t="shared" si="7"/>
        <v>0</v>
      </c>
    </row>
    <row r="104" spans="1:6" ht="15.75" thickBot="1" x14ac:dyDescent="0.3">
      <c r="A104" s="163" t="s">
        <v>279</v>
      </c>
      <c r="B104" s="164"/>
      <c r="C104" s="71"/>
      <c r="D104" s="72" t="s">
        <v>210</v>
      </c>
      <c r="E104" s="73">
        <v>115</v>
      </c>
      <c r="F104" s="73">
        <f t="shared" si="7"/>
        <v>0</v>
      </c>
    </row>
    <row r="105" spans="1:6" ht="15.75" thickBot="1" x14ac:dyDescent="0.3">
      <c r="A105" s="163" t="s">
        <v>280</v>
      </c>
      <c r="B105" s="164"/>
      <c r="C105" s="71"/>
      <c r="D105" s="72" t="s">
        <v>210</v>
      </c>
      <c r="E105" s="73">
        <v>165</v>
      </c>
      <c r="F105" s="73">
        <f t="shared" si="7"/>
        <v>0</v>
      </c>
    </row>
    <row r="106" spans="1:6" ht="15.75" thickBot="1" x14ac:dyDescent="0.3">
      <c r="A106" s="163" t="s">
        <v>281</v>
      </c>
      <c r="B106" s="164"/>
      <c r="C106" s="71"/>
      <c r="D106" s="72" t="s">
        <v>210</v>
      </c>
      <c r="E106" s="73">
        <v>175</v>
      </c>
      <c r="F106" s="73">
        <f t="shared" si="7"/>
        <v>0</v>
      </c>
    </row>
    <row r="107" spans="1:6" ht="15.75" thickBot="1" x14ac:dyDescent="0.3">
      <c r="A107" s="163" t="s">
        <v>282</v>
      </c>
      <c r="B107" s="164"/>
      <c r="C107" s="71"/>
      <c r="D107" s="72" t="s">
        <v>210</v>
      </c>
      <c r="E107" s="73">
        <v>255</v>
      </c>
      <c r="F107" s="73">
        <f t="shared" si="7"/>
        <v>0</v>
      </c>
    </row>
    <row r="108" spans="1:6" ht="15.75" thickBot="1" x14ac:dyDescent="0.3">
      <c r="A108" s="163" t="s">
        <v>283</v>
      </c>
      <c r="B108" s="164"/>
      <c r="C108" s="71"/>
      <c r="D108" s="72" t="s">
        <v>210</v>
      </c>
      <c r="E108" s="73">
        <v>270</v>
      </c>
      <c r="F108" s="73">
        <f t="shared" si="7"/>
        <v>0</v>
      </c>
    </row>
    <row r="109" spans="1:6" ht="15.75" thickBot="1" x14ac:dyDescent="0.3">
      <c r="A109" s="163" t="s">
        <v>284</v>
      </c>
      <c r="B109" s="164"/>
      <c r="C109" s="71"/>
      <c r="D109" s="72" t="s">
        <v>210</v>
      </c>
      <c r="E109" s="100"/>
      <c r="F109" s="73">
        <f t="shared" si="7"/>
        <v>0</v>
      </c>
    </row>
    <row r="110" spans="1:6" ht="15.75" thickBot="1" x14ac:dyDescent="0.3">
      <c r="A110" s="101" t="s">
        <v>285</v>
      </c>
      <c r="B110" s="102"/>
      <c r="C110" s="103"/>
      <c r="D110" s="104"/>
      <c r="E110" s="105"/>
      <c r="F110" s="106"/>
    </row>
    <row r="111" spans="1:6" ht="15.75" thickBot="1" x14ac:dyDescent="0.3">
      <c r="A111" s="163" t="s">
        <v>286</v>
      </c>
      <c r="B111" s="164"/>
      <c r="C111" s="71"/>
      <c r="D111" s="72" t="s">
        <v>229</v>
      </c>
      <c r="E111" s="75"/>
      <c r="F111" s="73">
        <f t="shared" si="7"/>
        <v>0</v>
      </c>
    </row>
    <row r="112" spans="1:6" ht="15.75" thickBot="1" x14ac:dyDescent="0.3">
      <c r="A112" s="163" t="s">
        <v>287</v>
      </c>
      <c r="B112" s="164"/>
      <c r="C112" s="71"/>
      <c r="D112" s="72" t="s">
        <v>220</v>
      </c>
      <c r="E112" s="73">
        <v>700</v>
      </c>
      <c r="F112" s="73">
        <f t="shared" si="7"/>
        <v>0</v>
      </c>
    </row>
    <row r="113" spans="1:6" ht="15.75" thickBot="1" x14ac:dyDescent="0.3">
      <c r="A113" s="163" t="s">
        <v>288</v>
      </c>
      <c r="B113" s="164"/>
      <c r="C113" s="71"/>
      <c r="D113" s="72" t="s">
        <v>220</v>
      </c>
      <c r="E113" s="73">
        <v>3500</v>
      </c>
      <c r="F113" s="73">
        <f t="shared" si="7"/>
        <v>0</v>
      </c>
    </row>
    <row r="114" spans="1:6" ht="15.75" thickBot="1" x14ac:dyDescent="0.3">
      <c r="A114" s="163" t="s">
        <v>289</v>
      </c>
      <c r="B114" s="164"/>
      <c r="C114" s="71"/>
      <c r="D114" s="72" t="s">
        <v>220</v>
      </c>
      <c r="E114" s="73">
        <v>4000</v>
      </c>
      <c r="F114" s="73">
        <f t="shared" si="7"/>
        <v>0</v>
      </c>
    </row>
    <row r="115" spans="1:6" ht="15.75" thickBot="1" x14ac:dyDescent="0.3">
      <c r="A115" s="163" t="s">
        <v>290</v>
      </c>
      <c r="B115" s="164"/>
      <c r="C115" s="71"/>
      <c r="D115" s="72" t="s">
        <v>220</v>
      </c>
      <c r="E115" s="73">
        <v>1200</v>
      </c>
      <c r="F115" s="73">
        <f>E115*C115</f>
        <v>0</v>
      </c>
    </row>
    <row r="116" spans="1:6" ht="15.75" thickBot="1" x14ac:dyDescent="0.3">
      <c r="A116" s="163" t="s">
        <v>291</v>
      </c>
      <c r="B116" s="164"/>
      <c r="C116" s="71"/>
      <c r="D116" s="72" t="s">
        <v>254</v>
      </c>
      <c r="E116" s="73">
        <v>10</v>
      </c>
      <c r="F116" s="73">
        <f>E116*C116</f>
        <v>0</v>
      </c>
    </row>
    <row r="117" spans="1:6" ht="15.75" thickBot="1" x14ac:dyDescent="0.3">
      <c r="A117" s="163" t="s">
        <v>292</v>
      </c>
      <c r="B117" s="164"/>
      <c r="C117" s="71"/>
      <c r="D117" s="72" t="s">
        <v>220</v>
      </c>
      <c r="E117" s="100"/>
      <c r="F117" s="73">
        <f t="shared" ref="F117:F119" si="8">E117*C117</f>
        <v>0</v>
      </c>
    </row>
    <row r="118" spans="1:6" ht="15.75" thickBot="1" x14ac:dyDescent="0.3">
      <c r="A118" s="101" t="s">
        <v>293</v>
      </c>
      <c r="B118" s="102"/>
      <c r="C118" s="103"/>
      <c r="D118" s="104"/>
      <c r="E118" s="105"/>
      <c r="F118" s="106"/>
    </row>
    <row r="119" spans="1:6" ht="15.75" thickBot="1" x14ac:dyDescent="0.3">
      <c r="A119" s="163" t="s">
        <v>294</v>
      </c>
      <c r="B119" s="164"/>
      <c r="C119" s="71"/>
      <c r="D119" s="107" t="s">
        <v>220</v>
      </c>
      <c r="E119" s="100"/>
      <c r="F119" s="73">
        <f t="shared" si="8"/>
        <v>0</v>
      </c>
    </row>
    <row r="120" spans="1:6" ht="15.75" thickBot="1" x14ac:dyDescent="0.3">
      <c r="A120" s="101" t="s">
        <v>293</v>
      </c>
      <c r="B120" s="102"/>
      <c r="C120" s="103"/>
      <c r="D120" s="104"/>
      <c r="E120" s="105"/>
      <c r="F120" s="106"/>
    </row>
    <row r="121" spans="1:6" x14ac:dyDescent="0.25">
      <c r="A121" s="192" t="s">
        <v>295</v>
      </c>
      <c r="B121" s="193"/>
      <c r="C121" s="193"/>
      <c r="D121" s="78"/>
      <c r="E121" s="191" t="s">
        <v>296</v>
      </c>
      <c r="F121" s="181">
        <f>SUM(F99:F119)</f>
        <v>0</v>
      </c>
    </row>
    <row r="122" spans="1:6" ht="15.75" thickBot="1" x14ac:dyDescent="0.3">
      <c r="A122" s="194" t="s">
        <v>297</v>
      </c>
      <c r="B122" s="195"/>
      <c r="C122" s="195"/>
      <c r="D122" s="81"/>
      <c r="E122" s="180"/>
      <c r="F122" s="182"/>
    </row>
    <row r="123" spans="1:6" ht="15.75" thickBot="1" x14ac:dyDescent="0.3">
      <c r="A123" s="108"/>
      <c r="B123" s="109"/>
      <c r="C123" s="87"/>
      <c r="D123" s="87"/>
      <c r="E123" s="88"/>
      <c r="F123" s="89"/>
    </row>
    <row r="124" spans="1:6" ht="15.75" thickBot="1" x14ac:dyDescent="0.3">
      <c r="A124" s="67" t="s">
        <v>298</v>
      </c>
      <c r="B124" s="68"/>
      <c r="C124" s="69" t="s">
        <v>206</v>
      </c>
      <c r="D124" s="69" t="s">
        <v>207</v>
      </c>
      <c r="E124" s="69" t="s">
        <v>208</v>
      </c>
      <c r="F124" s="70" t="s">
        <v>174</v>
      </c>
    </row>
    <row r="125" spans="1:6" ht="15.75" thickBot="1" x14ac:dyDescent="0.3">
      <c r="A125" s="163" t="s">
        <v>299</v>
      </c>
      <c r="B125" s="164"/>
      <c r="C125" s="71"/>
      <c r="D125" s="72" t="s">
        <v>300</v>
      </c>
      <c r="E125" s="73">
        <v>10</v>
      </c>
      <c r="F125" s="73">
        <f>E125*C125</f>
        <v>0</v>
      </c>
    </row>
    <row r="126" spans="1:6" ht="15.75" thickBot="1" x14ac:dyDescent="0.3">
      <c r="A126" s="163" t="s">
        <v>301</v>
      </c>
      <c r="B126" s="164"/>
      <c r="C126" s="71"/>
      <c r="D126" s="72" t="s">
        <v>300</v>
      </c>
      <c r="E126" s="73">
        <v>12</v>
      </c>
      <c r="F126" s="73">
        <f t="shared" ref="F126:F137" si="9">E126*C126</f>
        <v>0</v>
      </c>
    </row>
    <row r="127" spans="1:6" ht="15.75" thickBot="1" x14ac:dyDescent="0.3">
      <c r="A127" s="163" t="s">
        <v>302</v>
      </c>
      <c r="B127" s="164"/>
      <c r="C127" s="71"/>
      <c r="D127" s="72" t="s">
        <v>267</v>
      </c>
      <c r="E127" s="73">
        <v>15</v>
      </c>
      <c r="F127" s="73">
        <f t="shared" si="9"/>
        <v>0</v>
      </c>
    </row>
    <row r="128" spans="1:6" ht="15.75" thickBot="1" x14ac:dyDescent="0.3">
      <c r="A128" s="163" t="s">
        <v>303</v>
      </c>
      <c r="B128" s="164"/>
      <c r="C128" s="71"/>
      <c r="D128" s="72" t="s">
        <v>254</v>
      </c>
      <c r="E128" s="73">
        <v>40</v>
      </c>
      <c r="F128" s="73">
        <f t="shared" si="9"/>
        <v>0</v>
      </c>
    </row>
    <row r="129" spans="1:6" ht="15.75" thickBot="1" x14ac:dyDescent="0.3">
      <c r="A129" s="163" t="s">
        <v>304</v>
      </c>
      <c r="B129" s="164"/>
      <c r="C129" s="71"/>
      <c r="D129" s="72" t="s">
        <v>254</v>
      </c>
      <c r="E129" s="73">
        <v>60</v>
      </c>
      <c r="F129" s="73">
        <f t="shared" si="9"/>
        <v>0</v>
      </c>
    </row>
    <row r="130" spans="1:6" ht="15.75" thickBot="1" x14ac:dyDescent="0.3">
      <c r="A130" s="163" t="s">
        <v>305</v>
      </c>
      <c r="B130" s="164"/>
      <c r="C130" s="71"/>
      <c r="D130" s="72" t="s">
        <v>267</v>
      </c>
      <c r="E130" s="73">
        <v>4</v>
      </c>
      <c r="F130" s="73">
        <f t="shared" si="9"/>
        <v>0</v>
      </c>
    </row>
    <row r="131" spans="1:6" ht="15.75" thickBot="1" x14ac:dyDescent="0.3">
      <c r="A131" s="163" t="s">
        <v>306</v>
      </c>
      <c r="B131" s="164"/>
      <c r="C131" s="71"/>
      <c r="D131" s="72" t="s">
        <v>220</v>
      </c>
      <c r="E131" s="73">
        <v>7000</v>
      </c>
      <c r="F131" s="73">
        <f t="shared" si="9"/>
        <v>0</v>
      </c>
    </row>
    <row r="132" spans="1:6" ht="15.75" thickBot="1" x14ac:dyDescent="0.3">
      <c r="A132" s="163" t="s">
        <v>307</v>
      </c>
      <c r="B132" s="164"/>
      <c r="C132" s="71"/>
      <c r="D132" s="72" t="s">
        <v>300</v>
      </c>
      <c r="E132" s="73">
        <v>40</v>
      </c>
      <c r="F132" s="73">
        <f t="shared" si="9"/>
        <v>0</v>
      </c>
    </row>
    <row r="133" spans="1:6" ht="15.75" thickBot="1" x14ac:dyDescent="0.3">
      <c r="A133" s="163" t="s">
        <v>308</v>
      </c>
      <c r="B133" s="164"/>
      <c r="C133" s="71"/>
      <c r="D133" s="72" t="s">
        <v>210</v>
      </c>
      <c r="E133" s="73">
        <v>10</v>
      </c>
      <c r="F133" s="73">
        <f t="shared" si="9"/>
        <v>0</v>
      </c>
    </row>
    <row r="134" spans="1:6" ht="15.75" thickBot="1" x14ac:dyDescent="0.3">
      <c r="A134" s="163" t="s">
        <v>309</v>
      </c>
      <c r="B134" s="164"/>
      <c r="C134" s="71"/>
      <c r="D134" s="72" t="s">
        <v>267</v>
      </c>
      <c r="E134" s="73">
        <v>10</v>
      </c>
      <c r="F134" s="73">
        <f t="shared" si="9"/>
        <v>0</v>
      </c>
    </row>
    <row r="135" spans="1:6" ht="15.75" thickBot="1" x14ac:dyDescent="0.3">
      <c r="A135" s="163" t="s">
        <v>310</v>
      </c>
      <c r="B135" s="164"/>
      <c r="C135" s="71"/>
      <c r="D135" s="72" t="s">
        <v>220</v>
      </c>
      <c r="E135" s="100"/>
      <c r="F135" s="73">
        <f t="shared" si="9"/>
        <v>0</v>
      </c>
    </row>
    <row r="136" spans="1:6" ht="15.75" thickBot="1" x14ac:dyDescent="0.3">
      <c r="A136" s="101" t="s">
        <v>293</v>
      </c>
      <c r="B136" s="102"/>
      <c r="C136" s="103"/>
      <c r="D136" s="104"/>
      <c r="E136" s="105"/>
      <c r="F136" s="106"/>
    </row>
    <row r="137" spans="1:6" ht="15.75" thickBot="1" x14ac:dyDescent="0.3">
      <c r="A137" s="74" t="s">
        <v>311</v>
      </c>
      <c r="B137" s="74"/>
      <c r="C137" s="71"/>
      <c r="D137" s="72" t="s">
        <v>220</v>
      </c>
      <c r="E137" s="100"/>
      <c r="F137" s="73">
        <f t="shared" si="9"/>
        <v>0</v>
      </c>
    </row>
    <row r="138" spans="1:6" ht="15.75" thickBot="1" x14ac:dyDescent="0.3">
      <c r="A138" s="101" t="s">
        <v>293</v>
      </c>
      <c r="B138" s="102"/>
      <c r="C138" s="103"/>
      <c r="D138" s="104"/>
      <c r="E138" s="105"/>
      <c r="F138" s="106"/>
    </row>
    <row r="139" spans="1:6" x14ac:dyDescent="0.25">
      <c r="A139" s="110" t="s">
        <v>312</v>
      </c>
      <c r="B139" s="111"/>
      <c r="C139" s="78"/>
      <c r="D139" s="78"/>
      <c r="E139" s="196" t="s">
        <v>313</v>
      </c>
      <c r="F139" s="181">
        <f>SUM(F125:F138)</f>
        <v>0</v>
      </c>
    </row>
    <row r="140" spans="1:6" ht="15.75" thickBot="1" x14ac:dyDescent="0.3">
      <c r="A140" s="112" t="s">
        <v>314</v>
      </c>
      <c r="B140" s="113"/>
      <c r="C140" s="81"/>
      <c r="D140" s="81"/>
      <c r="E140" s="180"/>
      <c r="F140" s="182"/>
    </row>
    <row r="141" spans="1:6" ht="15.75" thickBot="1" x14ac:dyDescent="0.3">
      <c r="A141" s="67" t="s">
        <v>315</v>
      </c>
      <c r="B141" s="68"/>
      <c r="C141" s="69" t="s">
        <v>206</v>
      </c>
      <c r="D141" s="69" t="s">
        <v>207</v>
      </c>
      <c r="E141" s="69" t="s">
        <v>208</v>
      </c>
      <c r="F141" s="70" t="s">
        <v>174</v>
      </c>
    </row>
    <row r="142" spans="1:6" ht="15.75" thickBot="1" x14ac:dyDescent="0.3">
      <c r="A142" s="163" t="s">
        <v>316</v>
      </c>
      <c r="B142" s="164"/>
      <c r="C142" s="71"/>
      <c r="D142" s="72" t="s">
        <v>220</v>
      </c>
      <c r="E142" s="73">
        <v>1000</v>
      </c>
      <c r="F142" s="73">
        <f>E142*C142</f>
        <v>0</v>
      </c>
    </row>
    <row r="143" spans="1:6" ht="15.75" thickBot="1" x14ac:dyDescent="0.3">
      <c r="A143" s="163" t="s">
        <v>317</v>
      </c>
      <c r="B143" s="164"/>
      <c r="C143" s="71"/>
      <c r="D143" s="72" t="s">
        <v>220</v>
      </c>
      <c r="E143" s="73">
        <v>140000</v>
      </c>
      <c r="F143" s="73">
        <f t="shared" ref="F143:F144" si="10">E143*C143</f>
        <v>0</v>
      </c>
    </row>
    <row r="144" spans="1:6" ht="15.75" thickBot="1" x14ac:dyDescent="0.3">
      <c r="A144" s="163" t="s">
        <v>318</v>
      </c>
      <c r="B144" s="164"/>
      <c r="C144" s="71"/>
      <c r="D144" s="72" t="s">
        <v>220</v>
      </c>
      <c r="E144" s="73">
        <v>275000</v>
      </c>
      <c r="F144" s="73">
        <f t="shared" si="10"/>
        <v>0</v>
      </c>
    </row>
    <row r="145" spans="1:6" x14ac:dyDescent="0.25">
      <c r="A145" s="110"/>
      <c r="B145" s="111"/>
      <c r="C145" s="78"/>
      <c r="D145" s="78"/>
      <c r="E145" s="191" t="s">
        <v>319</v>
      </c>
      <c r="F145" s="181">
        <f>SUM(F142:F144)</f>
        <v>0</v>
      </c>
    </row>
    <row r="146" spans="1:6" ht="15.75" thickBot="1" x14ac:dyDescent="0.3">
      <c r="A146" s="112"/>
      <c r="B146" s="113"/>
      <c r="C146" s="81"/>
      <c r="D146" s="81"/>
      <c r="E146" s="180"/>
      <c r="F146" s="182"/>
    </row>
    <row r="147" spans="1:6" ht="15.75" thickBot="1" x14ac:dyDescent="0.3">
      <c r="A147" s="21"/>
      <c r="B147" s="21"/>
      <c r="C147" s="21"/>
      <c r="D147" s="21"/>
      <c r="E147" s="21"/>
      <c r="F147" s="21"/>
    </row>
    <row r="148" spans="1:6" ht="15.75" thickBot="1" x14ac:dyDescent="0.3">
      <c r="A148" s="67" t="s">
        <v>320</v>
      </c>
      <c r="B148" s="68"/>
      <c r="C148" s="69" t="s">
        <v>206</v>
      </c>
      <c r="D148" s="69" t="s">
        <v>207</v>
      </c>
      <c r="E148" s="69" t="s">
        <v>208</v>
      </c>
      <c r="F148" s="70" t="s">
        <v>174</v>
      </c>
    </row>
    <row r="149" spans="1:6" ht="15.75" thickBot="1" x14ac:dyDescent="0.3">
      <c r="A149" s="163" t="s">
        <v>253</v>
      </c>
      <c r="B149" s="164"/>
      <c r="C149" s="71"/>
      <c r="D149" s="72" t="s">
        <v>254</v>
      </c>
      <c r="E149" s="73">
        <v>65</v>
      </c>
      <c r="F149" s="73">
        <f>E149*C149</f>
        <v>0</v>
      </c>
    </row>
    <row r="150" spans="1:6" ht="15.75" thickBot="1" x14ac:dyDescent="0.3">
      <c r="A150" s="163" t="s">
        <v>257</v>
      </c>
      <c r="B150" s="164"/>
      <c r="C150" s="71"/>
      <c r="D150" s="72" t="s">
        <v>210</v>
      </c>
      <c r="E150" s="73">
        <v>13</v>
      </c>
      <c r="F150" s="73">
        <f t="shared" ref="F150:F153" si="11">E150*C150</f>
        <v>0</v>
      </c>
    </row>
    <row r="151" spans="1:6" ht="15.75" thickBot="1" x14ac:dyDescent="0.3">
      <c r="A151" s="163" t="s">
        <v>258</v>
      </c>
      <c r="B151" s="164"/>
      <c r="C151" s="71"/>
      <c r="D151" s="72" t="s">
        <v>210</v>
      </c>
      <c r="E151" s="73">
        <v>15</v>
      </c>
      <c r="F151" s="73">
        <f t="shared" si="11"/>
        <v>0</v>
      </c>
    </row>
    <row r="152" spans="1:6" ht="15.75" thickBot="1" x14ac:dyDescent="0.3">
      <c r="A152" s="163" t="s">
        <v>259</v>
      </c>
      <c r="B152" s="164"/>
      <c r="C152" s="71"/>
      <c r="D152" s="72" t="s">
        <v>220</v>
      </c>
      <c r="E152" s="73">
        <v>10000</v>
      </c>
      <c r="F152" s="73">
        <f t="shared" si="11"/>
        <v>0</v>
      </c>
    </row>
    <row r="153" spans="1:6" ht="15.75" thickBot="1" x14ac:dyDescent="0.3">
      <c r="A153" s="163" t="s">
        <v>260</v>
      </c>
      <c r="B153" s="164"/>
      <c r="C153" s="71"/>
      <c r="D153" s="72" t="s">
        <v>220</v>
      </c>
      <c r="E153" s="73">
        <v>10000</v>
      </c>
      <c r="F153" s="73">
        <f t="shared" si="11"/>
        <v>0</v>
      </c>
    </row>
    <row r="154" spans="1:6" ht="15.75" thickBot="1" x14ac:dyDescent="0.3">
      <c r="A154" s="163" t="s">
        <v>261</v>
      </c>
      <c r="B154" s="164"/>
      <c r="C154" s="83">
        <v>0.05</v>
      </c>
      <c r="D154" s="72" t="s">
        <v>262</v>
      </c>
      <c r="E154" s="73">
        <f>SUM(F149:F153)</f>
        <v>0</v>
      </c>
      <c r="F154" s="73">
        <f>0.05*E154</f>
        <v>0</v>
      </c>
    </row>
    <row r="155" spans="1:6" x14ac:dyDescent="0.25">
      <c r="A155" s="186" t="s">
        <v>321</v>
      </c>
      <c r="B155" s="84"/>
      <c r="C155" s="78"/>
      <c r="D155" s="197" t="s">
        <v>322</v>
      </c>
      <c r="E155" s="197"/>
      <c r="F155" s="181">
        <f>SUM(F149:F154)</f>
        <v>0</v>
      </c>
    </row>
    <row r="156" spans="1:6" ht="15.75" thickBot="1" x14ac:dyDescent="0.3">
      <c r="A156" s="187"/>
      <c r="B156" s="85"/>
      <c r="C156" s="81"/>
      <c r="D156" s="198"/>
      <c r="E156" s="198"/>
      <c r="F156" s="182"/>
    </row>
    <row r="157" spans="1:6" ht="15.75" thickBot="1" x14ac:dyDescent="0.3">
      <c r="A157" s="21"/>
      <c r="B157" s="21"/>
      <c r="C157" s="21"/>
      <c r="D157" s="21"/>
      <c r="E157" s="21"/>
      <c r="F157" s="21"/>
    </row>
    <row r="158" spans="1:6" ht="15.75" thickBot="1" x14ac:dyDescent="0.3">
      <c r="A158" s="67" t="s">
        <v>201</v>
      </c>
      <c r="B158" s="68"/>
      <c r="C158" s="69" t="s">
        <v>206</v>
      </c>
      <c r="D158" s="69" t="s">
        <v>207</v>
      </c>
      <c r="E158" s="69" t="s">
        <v>208</v>
      </c>
      <c r="F158" s="70" t="s">
        <v>174</v>
      </c>
    </row>
    <row r="159" spans="1:6" ht="15.75" thickBot="1" x14ac:dyDescent="0.3">
      <c r="A159" s="163" t="s">
        <v>323</v>
      </c>
      <c r="B159" s="164"/>
      <c r="C159" s="71"/>
      <c r="D159" s="72" t="s">
        <v>210</v>
      </c>
      <c r="E159" s="73">
        <v>65</v>
      </c>
      <c r="F159" s="73">
        <f>E159*C159</f>
        <v>0</v>
      </c>
    </row>
    <row r="160" spans="1:6" ht="15.75" thickBot="1" x14ac:dyDescent="0.3">
      <c r="A160" s="163" t="s">
        <v>324</v>
      </c>
      <c r="B160" s="164"/>
      <c r="C160" s="71"/>
      <c r="D160" s="72" t="s">
        <v>210</v>
      </c>
      <c r="E160" s="73">
        <v>70</v>
      </c>
      <c r="F160" s="73">
        <f t="shared" ref="F160:F162" si="12">E160*C160</f>
        <v>0</v>
      </c>
    </row>
    <row r="161" spans="1:6" ht="15.75" thickBot="1" x14ac:dyDescent="0.3">
      <c r="A161" s="163" t="s">
        <v>325</v>
      </c>
      <c r="B161" s="164"/>
      <c r="C161" s="71"/>
      <c r="D161" s="72" t="s">
        <v>229</v>
      </c>
      <c r="E161" s="114"/>
      <c r="F161" s="73">
        <f t="shared" si="12"/>
        <v>0</v>
      </c>
    </row>
    <row r="162" spans="1:6" ht="15.75" thickBot="1" x14ac:dyDescent="0.3">
      <c r="A162" s="163" t="s">
        <v>230</v>
      </c>
      <c r="B162" s="164"/>
      <c r="C162" s="71"/>
      <c r="D162" s="72" t="s">
        <v>220</v>
      </c>
      <c r="E162" s="73">
        <v>4000</v>
      </c>
      <c r="F162" s="73">
        <f t="shared" si="12"/>
        <v>0</v>
      </c>
    </row>
    <row r="163" spans="1:6" x14ac:dyDescent="0.25">
      <c r="A163" s="76" t="s">
        <v>326</v>
      </c>
      <c r="B163" s="77"/>
      <c r="C163" s="78"/>
      <c r="D163" s="197" t="s">
        <v>327</v>
      </c>
      <c r="E163" s="197"/>
      <c r="F163" s="181">
        <f>SUM(F159:F162)</f>
        <v>0</v>
      </c>
    </row>
    <row r="164" spans="1:6" ht="15.75" thickBot="1" x14ac:dyDescent="0.3">
      <c r="A164" s="79" t="s">
        <v>328</v>
      </c>
      <c r="B164" s="80"/>
      <c r="C164" s="81"/>
      <c r="D164" s="198"/>
      <c r="E164" s="198"/>
      <c r="F164" s="182"/>
    </row>
    <row r="165" spans="1:6" ht="15.75" thickBot="1" x14ac:dyDescent="0.3">
      <c r="A165" s="21"/>
      <c r="B165" s="21"/>
      <c r="C165" s="21"/>
      <c r="D165" s="21"/>
      <c r="E165" s="21"/>
      <c r="F165" s="21"/>
    </row>
    <row r="166" spans="1:6" ht="15.75" thickBot="1" x14ac:dyDescent="0.3">
      <c r="A166" s="67" t="s">
        <v>202</v>
      </c>
      <c r="B166" s="68"/>
      <c r="C166" s="69" t="s">
        <v>206</v>
      </c>
      <c r="D166" s="69" t="s">
        <v>207</v>
      </c>
      <c r="E166" s="69" t="s">
        <v>208</v>
      </c>
      <c r="F166" s="70" t="s">
        <v>174</v>
      </c>
    </row>
    <row r="167" spans="1:6" ht="15.75" thickBot="1" x14ac:dyDescent="0.3">
      <c r="A167" s="163" t="s">
        <v>324</v>
      </c>
      <c r="B167" s="164"/>
      <c r="C167" s="71"/>
      <c r="D167" s="72" t="s">
        <v>210</v>
      </c>
      <c r="E167" s="73">
        <v>110</v>
      </c>
      <c r="F167" s="73">
        <f>E167*C167</f>
        <v>0</v>
      </c>
    </row>
    <row r="168" spans="1:6" ht="15.75" thickBot="1" x14ac:dyDescent="0.3">
      <c r="A168" s="163" t="s">
        <v>329</v>
      </c>
      <c r="B168" s="164"/>
      <c r="C168" s="71"/>
      <c r="D168" s="72" t="s">
        <v>210</v>
      </c>
      <c r="E168" s="73">
        <v>130</v>
      </c>
      <c r="F168" s="73">
        <f t="shared" ref="F168:F173" si="13">E168*C168</f>
        <v>0</v>
      </c>
    </row>
    <row r="169" spans="1:6" ht="15.75" thickBot="1" x14ac:dyDescent="0.3">
      <c r="A169" s="163" t="s">
        <v>239</v>
      </c>
      <c r="B169" s="164"/>
      <c r="C169" s="71"/>
      <c r="D169" s="72" t="s">
        <v>220</v>
      </c>
      <c r="E169" s="73">
        <v>3500</v>
      </c>
      <c r="F169" s="73">
        <f t="shared" si="13"/>
        <v>0</v>
      </c>
    </row>
    <row r="170" spans="1:6" ht="15.75" thickBot="1" x14ac:dyDescent="0.3">
      <c r="A170" s="163" t="s">
        <v>240</v>
      </c>
      <c r="B170" s="164"/>
      <c r="C170" s="71"/>
      <c r="D170" s="72" t="s">
        <v>220</v>
      </c>
      <c r="E170" s="73">
        <v>4200</v>
      </c>
      <c r="F170" s="73">
        <f t="shared" si="13"/>
        <v>0</v>
      </c>
    </row>
    <row r="171" spans="1:6" ht="15.75" thickBot="1" x14ac:dyDescent="0.3">
      <c r="A171" s="163" t="s">
        <v>241</v>
      </c>
      <c r="B171" s="164"/>
      <c r="C171" s="71"/>
      <c r="D171" s="72" t="s">
        <v>210</v>
      </c>
      <c r="E171" s="73">
        <v>60</v>
      </c>
      <c r="F171" s="73">
        <f t="shared" si="13"/>
        <v>0</v>
      </c>
    </row>
    <row r="172" spans="1:6" ht="15.75" thickBot="1" x14ac:dyDescent="0.3">
      <c r="A172" s="163" t="s">
        <v>242</v>
      </c>
      <c r="B172" s="164"/>
      <c r="C172" s="71"/>
      <c r="D172" s="72" t="s">
        <v>210</v>
      </c>
      <c r="E172" s="73">
        <v>65</v>
      </c>
      <c r="F172" s="73">
        <f t="shared" si="13"/>
        <v>0</v>
      </c>
    </row>
    <row r="173" spans="1:6" ht="15.75" thickBot="1" x14ac:dyDescent="0.3">
      <c r="A173" s="163" t="s">
        <v>330</v>
      </c>
      <c r="B173" s="164"/>
      <c r="C173" s="71"/>
      <c r="D173" s="72" t="s">
        <v>229</v>
      </c>
      <c r="E173" s="114"/>
      <c r="F173" s="73">
        <f t="shared" si="13"/>
        <v>0</v>
      </c>
    </row>
    <row r="174" spans="1:6" x14ac:dyDescent="0.25">
      <c r="A174" s="76" t="s">
        <v>331</v>
      </c>
      <c r="B174" s="77"/>
      <c r="C174" s="78"/>
      <c r="D174" s="197" t="s">
        <v>332</v>
      </c>
      <c r="E174" s="197"/>
      <c r="F174" s="181">
        <f>SUM(F167:F173)</f>
        <v>0</v>
      </c>
    </row>
    <row r="175" spans="1:6" ht="15.75" thickBot="1" x14ac:dyDescent="0.3">
      <c r="A175" s="79" t="s">
        <v>328</v>
      </c>
      <c r="B175" s="80"/>
      <c r="C175" s="81"/>
      <c r="D175" s="198"/>
      <c r="E175" s="198"/>
      <c r="F175" s="182"/>
    </row>
  </sheetData>
  <sheetProtection algorithmName="SHA-512" hashValue="pVjeKmz04jVW2tT8oNMAyXQMD/tKaiZhvlVjSha3Q57ctnMlEtPlDlLPUUQAz9PmsvPwAtsKwISOw4zZE+2/fQ==" saltValue="UZ3ada2XFaUgWNBwqShT1g==" spinCount="100000" sheet="1" objects="1" scenarios="1" selectLockedCells="1"/>
  <protectedRanges>
    <protectedRange sqref="B3:C3 B4:C4 B5:C5 B6:C6 B8 E3:F9 B13 D13:F13 C44:C53 E50 C58:C75 E74 C79:C85 C91:C94 C99:C109 C110 E109 E111 D110 C111:C117 E117 E119 D118 C118 C120 D120 C125:C138 D136 D138 E137 E135 B136 B138 B118 B120 B110 C142:C144 C149:C153 C159:C162 C167:C173" name="Range1"/>
  </protectedRanges>
  <mergeCells count="135">
    <mergeCell ref="A173:B173"/>
    <mergeCell ref="D174:E175"/>
    <mergeCell ref="F174:F175"/>
    <mergeCell ref="A167:B167"/>
    <mergeCell ref="A168:B168"/>
    <mergeCell ref="A169:B169"/>
    <mergeCell ref="A170:B170"/>
    <mergeCell ref="A171:B171"/>
    <mergeCell ref="A172:B172"/>
    <mergeCell ref="A159:B159"/>
    <mergeCell ref="A160:B160"/>
    <mergeCell ref="A161:B161"/>
    <mergeCell ref="A162:B162"/>
    <mergeCell ref="D163:E164"/>
    <mergeCell ref="F163:F164"/>
    <mergeCell ref="A152:B152"/>
    <mergeCell ref="A153:B153"/>
    <mergeCell ref="A154:B154"/>
    <mergeCell ref="A155:A156"/>
    <mergeCell ref="D155:E156"/>
    <mergeCell ref="F155:F156"/>
    <mergeCell ref="A144:B144"/>
    <mergeCell ref="E145:E146"/>
    <mergeCell ref="F145:F146"/>
    <mergeCell ref="A149:B149"/>
    <mergeCell ref="A150:B150"/>
    <mergeCell ref="A151:B151"/>
    <mergeCell ref="A134:B134"/>
    <mergeCell ref="A135:B135"/>
    <mergeCell ref="E139:E140"/>
    <mergeCell ref="F139:F140"/>
    <mergeCell ref="A142:B142"/>
    <mergeCell ref="A143:B143"/>
    <mergeCell ref="A128:B128"/>
    <mergeCell ref="A129:B129"/>
    <mergeCell ref="A130:B130"/>
    <mergeCell ref="A131:B131"/>
    <mergeCell ref="A132:B132"/>
    <mergeCell ref="A133:B133"/>
    <mergeCell ref="E121:E122"/>
    <mergeCell ref="F121:F122"/>
    <mergeCell ref="A122:C122"/>
    <mergeCell ref="A125:B125"/>
    <mergeCell ref="A126:B126"/>
    <mergeCell ref="A127:B127"/>
    <mergeCell ref="A114:B114"/>
    <mergeCell ref="A115:B115"/>
    <mergeCell ref="A116:B116"/>
    <mergeCell ref="A117:B117"/>
    <mergeCell ref="A119:B119"/>
    <mergeCell ref="A121:C121"/>
    <mergeCell ref="A107:B107"/>
    <mergeCell ref="A108:B108"/>
    <mergeCell ref="A109:B109"/>
    <mergeCell ref="A111:B111"/>
    <mergeCell ref="A112:B112"/>
    <mergeCell ref="A113:B113"/>
    <mergeCell ref="A101:B101"/>
    <mergeCell ref="A102:B102"/>
    <mergeCell ref="A103:B103"/>
    <mergeCell ref="A104:B104"/>
    <mergeCell ref="A105:B105"/>
    <mergeCell ref="A106:B106"/>
    <mergeCell ref="A94:B94"/>
    <mergeCell ref="A95:A96"/>
    <mergeCell ref="E95:E96"/>
    <mergeCell ref="F95:F96"/>
    <mergeCell ref="A99:B99"/>
    <mergeCell ref="A100:B100"/>
    <mergeCell ref="A87:A88"/>
    <mergeCell ref="E87:E88"/>
    <mergeCell ref="F87:F88"/>
    <mergeCell ref="A91:B91"/>
    <mergeCell ref="A92:B92"/>
    <mergeCell ref="A93:B93"/>
    <mergeCell ref="A81:B81"/>
    <mergeCell ref="A82:B82"/>
    <mergeCell ref="A83:B83"/>
    <mergeCell ref="A84:B84"/>
    <mergeCell ref="A85:B85"/>
    <mergeCell ref="A86:B86"/>
    <mergeCell ref="A75:B75"/>
    <mergeCell ref="E75:F75"/>
    <mergeCell ref="E76:E77"/>
    <mergeCell ref="F76:F77"/>
    <mergeCell ref="A79:B79"/>
    <mergeCell ref="A80:B80"/>
    <mergeCell ref="A68:B68"/>
    <mergeCell ref="A69:B69"/>
    <mergeCell ref="A70:B70"/>
    <mergeCell ref="A71:B71"/>
    <mergeCell ref="A72:B72"/>
    <mergeCell ref="A73:B73"/>
    <mergeCell ref="A62:B62"/>
    <mergeCell ref="A63:B63"/>
    <mergeCell ref="A64:B64"/>
    <mergeCell ref="A65:B65"/>
    <mergeCell ref="A66:B66"/>
    <mergeCell ref="A67:B67"/>
    <mergeCell ref="E54:E55"/>
    <mergeCell ref="F54:F55"/>
    <mergeCell ref="A58:B58"/>
    <mergeCell ref="A59:B59"/>
    <mergeCell ref="A60:B60"/>
    <mergeCell ref="A61:B61"/>
    <mergeCell ref="A49:B49"/>
    <mergeCell ref="A51:B51"/>
    <mergeCell ref="A52:B52"/>
    <mergeCell ref="E52:F52"/>
    <mergeCell ref="A53:B53"/>
    <mergeCell ref="E53:F53"/>
    <mergeCell ref="C26:D26"/>
    <mergeCell ref="A44:B44"/>
    <mergeCell ref="A45:B45"/>
    <mergeCell ref="A46:B46"/>
    <mergeCell ref="A47:B47"/>
    <mergeCell ref="A48:B48"/>
    <mergeCell ref="E9:F9"/>
    <mergeCell ref="A11:B11"/>
    <mergeCell ref="C11:F11"/>
    <mergeCell ref="A12:F12"/>
    <mergeCell ref="D13:F13"/>
    <mergeCell ref="A15:F16"/>
    <mergeCell ref="B5:C5"/>
    <mergeCell ref="E5:F5"/>
    <mergeCell ref="B6:C6"/>
    <mergeCell ref="E6:F6"/>
    <mergeCell ref="E7:F7"/>
    <mergeCell ref="E8:F8"/>
    <mergeCell ref="A1:F1"/>
    <mergeCell ref="A2:F2"/>
    <mergeCell ref="B3:C3"/>
    <mergeCell ref="E3:F3"/>
    <mergeCell ref="B4:C4"/>
    <mergeCell ref="E4:F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Calculator</vt:lpstr>
      <vt:lpstr>Surety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Josh Stahle</dc:creator>
  <cp:keywords/>
  <dc:description/>
  <cp:lastModifiedBy>Joshua Stahle</cp:lastModifiedBy>
  <cp:revision/>
  <dcterms:created xsi:type="dcterms:W3CDTF">2023-02-24T18:34:49Z</dcterms:created>
  <dcterms:modified xsi:type="dcterms:W3CDTF">2025-12-30T14:31:00Z</dcterms:modified>
  <cp:category/>
  <cp:contentStatus/>
</cp:coreProperties>
</file>